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D9F34585-FF14-46B2-AF2C-6B62D305753E}" xr6:coauthVersionLast="47" xr6:coauthVersionMax="47" xr10:uidLastSave="{00000000-0000-0000-0000-000000000000}"/>
  <bookViews>
    <workbookView xWindow="28680" yWindow="-120" windowWidth="29040" windowHeight="16440" tabRatio="918" xr2:uid="{8A4E158D-48D3-420F-B492-A728DAACACA8}"/>
  </bookViews>
  <sheets>
    <sheet name="Index" sheetId="39" r:id="rId1"/>
    <sheet name="Appendix A" sheetId="3" r:id="rId2"/>
    <sheet name="1 - Revenue Credits" sheetId="5" r:id="rId3"/>
    <sheet name="2 - Cost Support" sheetId="9" r:id="rId4"/>
    <sheet name="3 - Cost Support" sheetId="29" r:id="rId5"/>
    <sheet name="4 - Cost Support" sheetId="38" r:id="rId6"/>
    <sheet name="5 - For Future Use" sheetId="40" r:id="rId7"/>
    <sheet name="6a - ADIT" sheetId="23" r:id="rId8"/>
    <sheet name="6b - ADIT" sheetId="22" r:id="rId9"/>
    <sheet name="6c - ADIT" sheetId="41" r:id="rId10"/>
    <sheet name="6d - ADIT" sheetId="42" r:id="rId11"/>
    <sheet name="7 - True-Up" sheetId="17" r:id="rId12"/>
    <sheet name="7a-Interest Rate" sheetId="30" r:id="rId13"/>
    <sheet name="8- Depreciation Rates" sheetId="20" r:id="rId14"/>
    <sheet name="9 - Workpaper" sheetId="36" r:id="rId15"/>
  </sheets>
  <definedNames>
    <definedName name="_____dat1111">#REF!</definedName>
    <definedName name="____dat1111">#REF!</definedName>
    <definedName name="___dat1111">#REF!</definedName>
    <definedName name="__dat1111">#REF!</definedName>
    <definedName name="_dat1111">#REF!</definedName>
    <definedName name="_Fill" hidden="1">#REF!</definedName>
    <definedName name="_ftn1" localSheetId="1">'Appendix A'!#REF!</definedName>
    <definedName name="_ftnref1" localSheetId="1">'Appendix A'!$D$6</definedName>
    <definedName name="aaa" hidden="1">{#N/A,#N/A,FALSE,"O&amp;M by processes";#N/A,#N/A,FALSE,"Elec Act vs Bud";#N/A,#N/A,FALSE,"G&amp;A";#N/A,#N/A,FALSE,"BGS";#N/A,#N/A,FALSE,"Res Cost"}</definedName>
    <definedName name="aaaaaaaaaaaaaaa" hidden="1">{#N/A,#N/A,FALSE,"O&amp;M by processes";#N/A,#N/A,FALSE,"Elec Act vs Bud";#N/A,#N/A,FALSE,"G&amp;A";#N/A,#N/A,FALSE,"BGS";#N/A,#N/A,FALSE,"Res Cost"}</definedName>
    <definedName name="AC_255">#REF!</definedName>
    <definedName name="Actual">#REF!</definedName>
    <definedName name="AllASS">#REF!</definedName>
    <definedName name="ALLCGI">#REF!</definedName>
    <definedName name="ALLRD">#REF!</definedName>
    <definedName name="ALLSKP">#REF!</definedName>
    <definedName name="anscount" hidden="1">1</definedName>
    <definedName name="AS2DocOpenMode" hidden="1">"AS2DocumentEdit"</definedName>
    <definedName name="BALANCE">#REF!</definedName>
    <definedName name="Basis_Points">#REF!</definedName>
    <definedName name="bbb" hidden="1">{#N/A,#N/A,FALSE,"O&amp;M by processes";#N/A,#N/A,FALSE,"Elec Act vs Bud";#N/A,#N/A,FALSE,"G&amp;A";#N/A,#N/A,FALSE,"BGS";#N/A,#N/A,FALSE,"Res Cost"}</definedName>
    <definedName name="bbbb" hidden="1">{#N/A,#N/A,FALSE,"O&amp;M by processes";#N/A,#N/A,FALSE,"Elec Act vs Bud";#N/A,#N/A,FALSE,"G&amp;A";#N/A,#N/A,FALSE,"BGS";#N/A,#N/A,FALSE,"Res Cost"}</definedName>
    <definedName name="bbbbb" hidden="1">{#N/A,#N/A,FALSE,"O&amp;M by processes";#N/A,#N/A,FALSE,"Elec Act vs Bud";#N/A,#N/A,FALSE,"G&amp;A";#N/A,#N/A,FALSE,"BGS";#N/A,#N/A,FALSE,"Res Cost"}</definedName>
    <definedName name="bbc" hidden="1">{#N/A,#N/A,FALSE,"O&amp;M by processes";#N/A,#N/A,FALSE,"Elec Act vs Bud";#N/A,#N/A,FALSE,"G&amp;A";#N/A,#N/A,FALSE,"BGS";#N/A,#N/A,FALSE,"Res Cost"}</definedName>
    <definedName name="beg_CWIP">#REF!</definedName>
    <definedName name="BGS_Cost_Scenario">#REF!</definedName>
    <definedName name="BGS_RFP">#REF!</definedName>
    <definedName name="BLE_Close_Date">#REF!</definedName>
    <definedName name="can" hidden="1">{#N/A,#N/A,FALSE,"O&amp;M by processes";#N/A,#N/A,FALSE,"Elec Act vs Bud";#N/A,#N/A,FALSE,"G&amp;A";#N/A,#N/A,FALSE,"BGS";#N/A,#N/A,FALSE,"Res Cost"}</definedName>
    <definedName name="cap_interest">#REF!</definedName>
    <definedName name="ccc" hidden="1">{#N/A,#N/A,FALSE,"O&amp;M by processes";#N/A,#N/A,FALSE,"Elec Act vs Bud";#N/A,#N/A,FALSE,"G&amp;A";#N/A,#N/A,FALSE,"BGS";#N/A,#N/A,FALSE,"Res Cost"}</definedName>
    <definedName name="cccc" hidden="1">{#N/A,#N/A,FALSE,"O&amp;M by processes";#N/A,#N/A,FALSE,"Elec Act vs Bud";#N/A,#N/A,FALSE,"G&amp;A";#N/A,#N/A,FALSE,"BGS";#N/A,#N/A,FALSE,"Res Cost"}</definedName>
    <definedName name="CEP_Amortization">#REF!</definedName>
    <definedName name="COGEN">#REF!</definedName>
    <definedName name="compInc">#REF!</definedName>
    <definedName name="Consolid" hidden="1">{#N/A,#N/A,FALSE,"O&amp;M by processes";#N/A,#N/A,FALSE,"Elec Act vs Bud";#N/A,#N/A,FALSE,"G&amp;A";#N/A,#N/A,FALSE,"BGS";#N/A,#N/A,FALSE,"Res Cost"}</definedName>
    <definedName name="Consolidated" hidden="1">{#N/A,#N/A,FALSE,"O&amp;M by processes";#N/A,#N/A,FALSE,"Elec Act vs Bud";#N/A,#N/A,FALSE,"G&amp;A";#N/A,#N/A,FALSE,"BGS";#N/A,#N/A,FALSE,"Res Cost"}</definedName>
    <definedName name="cost_of_good_sold">#REF!</definedName>
    <definedName name="cost2001">#REF!</definedName>
    <definedName name="CUT">#REF!</definedName>
    <definedName name="CUTINS">#REF!</definedName>
    <definedName name="da" hidden="1">{#N/A,#N/A,FALSE,"O&amp;M by processes";#N/A,#N/A,FALSE,"Elec Act vs Bud";#N/A,#N/A,FALSE,"G&amp;A";#N/A,#N/A,FALSE,"BGS";#N/A,#N/A,FALSE,"Res Cost"}</definedName>
    <definedName name="dada" hidden="1">{#N/A,#N/A,FALSE,"O&amp;M by processes";#N/A,#N/A,FALSE,"Elec Act vs Bud";#N/A,#N/A,FALSE,"G&amp;A";#N/A,#N/A,FALSE,"BGS";#N/A,#N/A,FALSE,"Res Cost"}</definedName>
    <definedName name="dae">#REF!</definedName>
    <definedName name="data_3">#REF!</definedName>
    <definedName name="Deferral_Interest_Rate">#REF!</definedName>
    <definedName name="Deferral_Recovery">#REF!</definedName>
    <definedName name="DefTax">#REF!</definedName>
    <definedName name="delete" hidden="1">{#N/A,#N/A,FALSE,"CURRENT"}</definedName>
    <definedName name="eeee" hidden="1">{#N/A,#N/A,FALSE,"O&amp;M by processes";#N/A,#N/A,FALSE,"Elec Act vs Bud";#N/A,#N/A,FALSE,"G&amp;A";#N/A,#N/A,FALSE,"BGS";#N/A,#N/A,FALSE,"Res Cost"}</definedName>
    <definedName name="EROA">#REF!</definedName>
    <definedName name="EV__LASTREFTIME__" hidden="1">39826.8319444444</definedName>
    <definedName name="fed_inc_tax">#REF!</definedName>
    <definedName name="Fossil_BGS">#REF!</definedName>
    <definedName name="Fossil_Secur_Date">#REF!</definedName>
    <definedName name="GenLedger">#REF!</definedName>
    <definedName name="gita" hidden="1">{#N/A,#N/A,FALSE,"O&amp;M by processes";#N/A,#N/A,FALSE,"Elec Act vs Bud";#N/A,#N/A,FALSE,"G&amp;A";#N/A,#N/A,FALSE,"BGS";#N/A,#N/A,FALSE,"Res Cost"}</definedName>
    <definedName name="gitah" hidden="1">{#N/A,#N/A,FALSE,"O&amp;M by processes";#N/A,#N/A,FALSE,"Elec Act vs Bud";#N/A,#N/A,FALSE,"G&amp;A";#N/A,#N/A,FALSE,"BGS";#N/A,#N/A,FALSE,"Res Cost"}</definedName>
    <definedName name="intang_afudc910">#REF!</definedName>
    <definedName name="INTQ">#REF!</definedName>
    <definedName name="INTY">#REF!</definedName>
    <definedName name="KeyCon_Close_Date">#REF!</definedName>
    <definedName name="l">#REF!</definedName>
    <definedName name="Labor">#REF!</definedName>
    <definedName name="limcount" hidden="1">1</definedName>
    <definedName name="million">1000000</definedName>
    <definedName name="month">#REF!</definedName>
    <definedName name="months">#REF!</definedName>
    <definedName name="MTC_Amortization">#REF!</definedName>
    <definedName name="non_cap_int">#REF!</definedName>
    <definedName name="Nuclear_Secur_Date">#REF!</definedName>
    <definedName name="one">1</definedName>
    <definedName name="pctHW">#REF!</definedName>
    <definedName name="pctSWExp">#REF!</definedName>
    <definedName name="pctTraining">#REF!</definedName>
    <definedName name="post_fossil">#REF!</definedName>
    <definedName name="PPA">#REF!</definedName>
    <definedName name="PreTaxDebt">#REF!</definedName>
    <definedName name="_xlnm.Print_Area" localSheetId="2">'1 - Revenue Credits'!$A$1:$F$49</definedName>
    <definedName name="_xlnm.Print_Area" localSheetId="3">'2 - Cost Support'!$A$2:$H$175</definedName>
    <definedName name="_xlnm.Print_Area" localSheetId="4">'3 - Cost Support'!$A$2:$N$135</definedName>
    <definedName name="_xlnm.Print_Area" localSheetId="5">'4 - Cost Support'!$A$1:$Q$45</definedName>
    <definedName name="_xlnm.Print_Area" localSheetId="7">'6a - ADIT'!$A$1:$H$104</definedName>
    <definedName name="_xlnm.Print_Area" localSheetId="8">'6b - ADIT'!$A$1:$H$103</definedName>
    <definedName name="_xlnm.Print_Area" localSheetId="11">'7 - True-Up'!$A$1:$K$58</definedName>
    <definedName name="_xlnm.Print_Area" localSheetId="12">'7a-Interest Rate'!$A$1:$O$38</definedName>
    <definedName name="_xlnm.Print_Area" localSheetId="13">'8- Depreciation Rates'!$A$1:$D$84</definedName>
    <definedName name="_xlnm.Print_Area" localSheetId="1">'Appendix A'!$A$1:$M$298</definedName>
    <definedName name="_xlnm.Print_Area" localSheetId="0">Index!$A$1:$K$24</definedName>
    <definedName name="Print_Titles_MI">#REF!,#REF!</definedName>
    <definedName name="PrintareaDec">#REF!,#REF!,#REF!</definedName>
    <definedName name="query">#REF!</definedName>
    <definedName name="rrrr" hidden="1">{#N/A,#N/A,FALSE,"O&amp;M by processes";#N/A,#N/A,FALSE,"Elec Act vs Bud";#N/A,#N/A,FALSE,"G&amp;A";#N/A,#N/A,FALSE,"BGS";#N/A,#N/A,FALSE,"Res Cost"}</definedName>
    <definedName name="shiva" hidden="1">{#N/A,#N/A,FALSE,"O&amp;M by processes";#N/A,#N/A,FALSE,"Elec Act vs Bud";#N/A,#N/A,FALSE,"G&amp;A";#N/A,#N/A,FALSE,"BGS";#N/A,#N/A,FALSE,"Res Cost"}</definedName>
    <definedName name="State">#REF!</definedName>
    <definedName name="statsrevised" hidden="1">{#N/A,#N/A,FALSE,"O&amp;M by processes";#N/A,#N/A,FALSE,"Elec Act vs Bud";#N/A,#N/A,FALSE,"G&amp;A";#N/A,#N/A,FALSE,"BGS";#N/A,#N/A,FALSE,"Res Cost"}</definedName>
    <definedName name="STILL1040">#REF!</definedName>
    <definedName name="support" hidden="1">{#N/A,#N/A,FALSE,"O&amp;M by processes";#N/A,#N/A,FALSE,"Elec Act vs Bud";#N/A,#N/A,FALSE,"G&amp;A";#N/A,#N/A,FALSE,"BGS";#N/A,#N/A,FALSE,"Res Cost"}</definedName>
    <definedName name="supporti" hidden="1">{#N/A,#N/A,FALSE,"O&amp;M by processes";#N/A,#N/A,FALSE,"Elec Act vs Bud";#N/A,#N/A,FALSE,"G&amp;A";#N/A,#N/A,FALSE,"BGS";#N/A,#N/A,FALSE,"Res Cost"}</definedName>
    <definedName name="Swap_Amort">#REF!</definedName>
    <definedName name="Tacx_Factor">#REF!</definedName>
    <definedName name="tax_base_on_inc">#REF!</definedName>
    <definedName name="tax_basis">#REF!</definedName>
    <definedName name="thousand">1000</definedName>
    <definedName name="toma" hidden="1">{#N/A,#N/A,FALSE,"O&amp;M by processes";#N/A,#N/A,FALSE,"Elec Act vs Bud";#N/A,#N/A,FALSE,"G&amp;A";#N/A,#N/A,FALSE,"BGS";#N/A,#N/A,FALSE,"Res Cost"}</definedName>
    <definedName name="tomb" hidden="1">{#N/A,#N/A,FALSE,"O&amp;M by processes";#N/A,#N/A,FALSE,"Elec Act vs Bud";#N/A,#N/A,FALSE,"G&amp;A";#N/A,#N/A,FALSE,"BGS";#N/A,#N/A,FALSE,"Res Cost"}</definedName>
    <definedName name="tomc" hidden="1">{#N/A,#N/A,FALSE,"O&amp;M by processes";#N/A,#N/A,FALSE,"Elec Act vs Bud";#N/A,#N/A,FALSE,"G&amp;A";#N/A,#N/A,FALSE,"BGS";#N/A,#N/A,FALSE,"Res Cost"}</definedName>
    <definedName name="tomd" hidden="1">{#N/A,#N/A,FALSE,"O&amp;M by processes";#N/A,#N/A,FALSE,"Elec Act vs Bud";#N/A,#N/A,FALSE,"G&amp;A";#N/A,#N/A,FALSE,"BGS";#N/A,#N/A,FALSE,"Res Cost"}</definedName>
    <definedName name="tomx" hidden="1">{#N/A,#N/A,FALSE,"O&amp;M by processes";#N/A,#N/A,FALSE,"Elec Act vs Bud";#N/A,#N/A,FALSE,"G&amp;A";#N/A,#N/A,FALSE,"BGS";#N/A,#N/A,FALSE,"Res Cost"}</definedName>
    <definedName name="tomy" hidden="1">{#N/A,#N/A,FALSE,"O&amp;M by processes";#N/A,#N/A,FALSE,"Elec Act vs Bud";#N/A,#N/A,FALSE,"G&amp;A";#N/A,#N/A,FALSE,"BGS";#N/A,#N/A,FALSE,"Res Cost"}</definedName>
    <definedName name="tomz" hidden="1">{#N/A,#N/A,FALSE,"O&amp;M by processes";#N/A,#N/A,FALSE,"Elec Act vs Bud";#N/A,#N/A,FALSE,"G&amp;A";#N/A,#N/A,FALSE,"BGS";#N/A,#N/A,FALSE,"Res Cost"}</definedName>
    <definedName name="tot_ded">#REF!</definedName>
    <definedName name="valDate">#REF!</definedName>
    <definedName name="WCCGCR2">#REF!</definedName>
    <definedName name="wh" hidden="1">{#N/A,#N/A,FALSE,"O&amp;M by processes";#N/A,#N/A,FALSE,"Elec Act vs Bud";#N/A,#N/A,FALSE,"G&amp;A";#N/A,#N/A,FALSE,"BGS";#N/A,#N/A,FALSE,"Res Cost"}</definedName>
    <definedName name="what" hidden="1">{#N/A,#N/A,FALSE,"O&amp;M by processes";#N/A,#N/A,FALSE,"Elec Act vs Bud";#N/A,#N/A,FALSE,"G&amp;A";#N/A,#N/A,FALSE,"BGS";#N/A,#N/A,FALSE,"Res Cost"}</definedName>
    <definedName name="Whatwhat" hidden="1">{#N/A,#N/A,FALSE,"O&amp;M by processes";#N/A,#N/A,FALSE,"Elec Act vs Bud";#N/A,#N/A,FALSE,"G&amp;A";#N/A,#N/A,FALSE,"BGS";#N/A,#N/A,FALSE,"Res Cost"}</definedName>
    <definedName name="who" hidden="1">{#N/A,#N/A,FALSE,"O&amp;M by processes";#N/A,#N/A,FALSE,"Elec Act vs Bud";#N/A,#N/A,FALSE,"G&amp;A";#N/A,#N/A,FALSE,"BGS";#N/A,#N/A,FALSE,"Res Cost"}</definedName>
    <definedName name="whowho" hidden="1">{#N/A,#N/A,FALSE,"O&amp;M by processes";#N/A,#N/A,FALSE,"Elec Act vs Bud";#N/A,#N/A,FALSE,"G&amp;A";#N/A,#N/A,FALSE,"BGS";#N/A,#N/A,FALSE,"Res Cost"}</definedName>
    <definedName name="whwh" hidden="1">{#N/A,#N/A,FALSE,"O&amp;M by processes";#N/A,#N/A,FALSE,"Elec Act vs Bud";#N/A,#N/A,FALSE,"G&amp;A";#N/A,#N/A,FALSE,"BGS";#N/A,#N/A,FALSE,"Res Cost"}</definedName>
    <definedName name="why" hidden="1">{#N/A,#N/A,FALSE,"O&amp;M by processes";#N/A,#N/A,FALSE,"Elec Act vs Bud";#N/A,#N/A,FALSE,"G&amp;A";#N/A,#N/A,FALSE,"BGS";#N/A,#N/A,FALSE,"Res Cost"}</definedName>
    <definedName name="WO_Description">#REF!</definedName>
    <definedName name="wrn" hidden="1">{#N/A,#N/A,FALSE,"O&amp;M by processes";#N/A,#N/A,FALSE,"Elec Act vs Bud";#N/A,#N/A,FALSE,"G&amp;A";#N/A,#N/A,FALSE,"BGS";#N/A,#N/A,FALSE,"Res Cost"}</definedName>
    <definedName name="wrn.722." hidden="1">{#N/A,#N/A,FALSE,"CURRENT"}</definedName>
    <definedName name="wrn.AGT." hidden="1">{"AGT",#N/A,FALSE,"Revenue"}</definedName>
    <definedName name="wrn.August._.1._.2003._.Rate._.Change." hidden="1">{"JFJ-1",#N/A,FALSE,"JFJ-1 Deferral Recovery Rate";"JFJ-2",#N/A,FALSE,"JFJ-2 NNC Rates";"JFJ-3",#N/A,FALSE,"JFJ-3 MTC Rate";"JFJ-4",#N/A,FALSE,"JFJ-4 CEP Rate";"JFJ-5",#N/A,FALSE,"JFJ-5 USF Rate";"JFJ-6",#N/A,FALSE,"JFJ-6 CRA Rate";"JFJ-7",#N/A,FALSE,"JFJ-7 2003 Rate Impact Summary";"JFJ-8",#N/A,FALSE,"ACE 25 Year Sales Forecast"}</definedName>
    <definedName name="wrn.Basic." hidden="1">{#N/A,#N/A,FALSE,"O&amp;M by processes";#N/A,#N/A,FALSE,"Elec Act vs Bud";#N/A,#N/A,FALSE,"G&amp;A";#N/A,#N/A,FALSE,"BGS";#N/A,#N/A,FALSE,"Res Cost"}</definedName>
    <definedName name="wrn.ChartSet." hidden="1">{#N/A,#N/A,FALSE,"Elec Deliv";#N/A,#N/A,FALSE,"Atlantic Pie";#N/A,#N/A,FALSE,"Bay Pie";#N/A,#N/A,FALSE,"New Castle Pie";#N/A,#N/A,FALSE,"Transmission Pie"}</definedName>
    <definedName name="wrn.Data._.dump." hidden="1">{"Input Data",#N/A,FALSE,"Input";"Income and Cash Flow",#N/A,FALSE,"Calculations"}</definedName>
    <definedName name="wrn.Deferral._.Forecast." hidden="1">{"Summary Deferral Forecast",#N/A,FALSE,"Deferral Forecast";"BGS Deferral Forecast",#N/A,FALSE,"BGS Deferral";"NNC Deferral Forecast",#N/A,FALSE,"NNC Deferral";"MTCDeferralForecast",#N/A,FALSE,"MTC Deferral";"SBC Deferral Forecast",#N/A,FALSE,"SBC Deferral"}</definedName>
    <definedName name="wrn.Filing." hidden="1">{#N/A,#N/A,FALSE,"Summary";#N/A,#N/A,FALSE,"Unbundled Revenue Summary ";#N/A,#N/A,FALSE,"Unbundled Rev Summary with Tax";"August Rates with Tax",#N/A,FALSE,"Rate Class Detail";"August Revenue with Tax",#N/A,FALSE,"Rate Class Detail";"August Rates wo Tax",#N/A,FALSE,"Rate Class Detail with Tax";"August Revenue wo Tax",#N/A,FALSE,"Rate Class Detail with Tax"}</definedName>
    <definedName name="wrn.For._.filling._.out._.assessments." hidden="1">{"Print Empty Template",#N/A,FALSE,"Input"}</definedName>
    <definedName name="wrn.HLP._.Detail." hidden="1">{"2002 - 2006 Detail Income Statement",#N/A,FALSE,"TUB Income Statement wo DW";"BGS Deferral",#N/A,FALSE,"BGS Deferral";"NNC Deferral",#N/A,FALSE,"NNC Deferral";"MTC Deferral",#N/A,FALSE,"MTC Deferral";#N/A,#N/A,FALSE,"Schedule D"}</definedName>
    <definedName name="wrn.Report." hidden="1">{#N/A,#N/A,FALSE,"Work performed";#N/A,#N/A,FALSE,"Resources"}</definedName>
    <definedName name="wrn.Revenue._.Analysis." hidden="1">{"High Level Summary",#N/A,FALSE,"High Level Summary";"Summary",#N/A,FALSE,"Summary";"Post Restructuring Revenue",#N/A,FALSE,"NEW RATE REV BY RATE CLASS";"Pre-Restructuring Revenue",#N/A,FALSE,"OLD RATE REV BY RATE CLASS";"1998 Sales",#N/A,FALSE,"NEW RATE REV BY RATE CLASS";"1999 Sales",#N/A,FALSE,"7 and 5 RATE REV BY RATE CLASS";"1999 7&amp;5 Revenue",#N/A,FALSE,"7 and 5 RATE REV BY RATE CLASS";"2000 Revenue",#N/A,FALSE,"2000 RATE REV BY RATE CLASS";"2001 Revenue",#N/A,FALSE,"2001 RATE REV BY RATE CLASS";"Post Restructuring Rates",#N/A,FALSE,"1999 NEW RATE SHAPING";"Pre-Restructuring Rates",#N/A,FALSE,"1999 OLD RATE SHAPING";"2000 Rates",#N/A,FALSE,"2000 NEW RATE SHAPING"}</definedName>
    <definedName name="wrn.Supporting._.Calculations." hidden="1">{#N/A,#N/A,FALSE,"Work performed";#N/A,#N/A,FALSE,"Resources"}</definedName>
    <definedName name="wrn.Tax._.Accrual." hidden="1">{#N/A,#N/A,TRUE,"TAXPROV";#N/A,#N/A,TRUE,"FLOWTHRU";#N/A,#N/A,TRUE,"SCHEDULE M'S";#N/A,#N/A,TRUE,"PLANT M'S";#N/A,#N/A,TRUE,"TAXJE"}</definedName>
    <definedName name="xxx" hidden="1">{#N/A,#N/A,FALSE,"O&amp;M by processes";#N/A,#N/A,FALSE,"Elec Act vs Bud";#N/A,#N/A,FALSE,"G&amp;A";#N/A,#N/A,FALSE,"BGS";#N/A,#N/A,FALSE,"Res Cost"}</definedName>
    <definedName name="xxxx" hidden="1">{#N/A,#N/A,FALSE,"O&amp;M by processes";#N/A,#N/A,FALSE,"Elec Act vs Bud";#N/A,#N/A,FALSE,"G&amp;A";#N/A,#N/A,FALSE,"BGS";#N/A,#N/A,FALSE,"Res Cost"}</definedName>
    <definedName name="YEAR1">#REF!</definedName>
    <definedName name="yeartodate">#REF!</definedName>
    <definedName name="Z_28948E05_8F34_4F1E_96FB_A80A6A844600_.wvu.Cols" localSheetId="7" hidden="1">'6a - ADIT'!#REF!</definedName>
    <definedName name="Z_28948E05_8F34_4F1E_96FB_A80A6A844600_.wvu.Cols" localSheetId="8" hidden="1">'6b - ADIT'!#REF!</definedName>
    <definedName name="Z_28948E05_8F34_4F1E_96FB_A80A6A844600_.wvu.PrintArea" localSheetId="7" hidden="1">'6a - ADIT'!$B$2:$H$126</definedName>
    <definedName name="Z_28948E05_8F34_4F1E_96FB_A80A6A844600_.wvu.PrintArea" localSheetId="8" hidden="1">'6b - ADIT'!$B$2:$H$125</definedName>
    <definedName name="Z_3768C7C8_9953_11DA_B318_000FB55D51DC_.wvu.PrintArea" localSheetId="2" hidden="1">'1 - Revenue Credits'!$A$6:$D$20</definedName>
    <definedName name="Z_3768C7C8_9953_11DA_B318_000FB55D51DC_.wvu.PrintArea" localSheetId="3" hidden="1">'2 - Cost Support'!#REF!</definedName>
    <definedName name="Z_3768C7C8_9953_11DA_B318_000FB55D51DC_.wvu.PrintArea" localSheetId="4" hidden="1">'3 - Cost Support'!$A$29:$M$135</definedName>
    <definedName name="Z_3768C7C8_9953_11DA_B318_000FB55D51DC_.wvu.PrintTitles" localSheetId="3" hidden="1">'2 - Cost Support'!#REF!</definedName>
    <definedName name="Z_3768C7C8_9953_11DA_B318_000FB55D51DC_.wvu.PrintTitles" localSheetId="4" hidden="1">'3 - Cost Support'!#REF!</definedName>
    <definedName name="Z_3768C7C8_9953_11DA_B318_000FB55D51DC_.wvu.Rows" localSheetId="3" hidden="1">'2 - Cost Support'!#REF!</definedName>
    <definedName name="Z_3768C7C8_9953_11DA_B318_000FB55D51DC_.wvu.Rows" localSheetId="4" hidden="1">'3 - Cost Support'!#REF!</definedName>
    <definedName name="Z_3BDD6235_B127_4929_8311_BDAF7BB89818_.wvu.PrintArea" localSheetId="2" hidden="1">'1 - Revenue Credits'!$A$6:$D$20</definedName>
    <definedName name="Z_3BDD6235_B127_4929_8311_BDAF7BB89818_.wvu.PrintArea" localSheetId="3" hidden="1">'2 - Cost Support'!#REF!</definedName>
    <definedName name="Z_3BDD6235_B127_4929_8311_BDAF7BB89818_.wvu.PrintArea" localSheetId="4" hidden="1">'3 - Cost Support'!$A$29:$M$135</definedName>
    <definedName name="Z_3BDD6235_B127_4929_8311_BDAF7BB89818_.wvu.PrintTitles" localSheetId="3" hidden="1">'2 - Cost Support'!#REF!</definedName>
    <definedName name="Z_3BDD6235_B127_4929_8311_BDAF7BB89818_.wvu.PrintTitles" localSheetId="4" hidden="1">'3 - Cost Support'!#REF!</definedName>
    <definedName name="Z_3BDD6235_B127_4929_8311_BDAF7BB89818_.wvu.Rows" localSheetId="3" hidden="1">'2 - Cost Support'!#REF!</definedName>
    <definedName name="Z_3BDD6235_B127_4929_8311_BDAF7BB89818_.wvu.Rows" localSheetId="4" hidden="1">'3 - Cost Support'!#REF!</definedName>
    <definedName name="Z_63011E91_4609_4523_98FE_FD252E915668_.wvu.Cols" localSheetId="7" hidden="1">'6a - ADIT'!#REF!</definedName>
    <definedName name="Z_63011E91_4609_4523_98FE_FD252E915668_.wvu.Cols" localSheetId="8" hidden="1">'6b - ADIT'!#REF!</definedName>
    <definedName name="Z_63011E91_4609_4523_98FE_FD252E915668_.wvu.PrintArea" localSheetId="7" hidden="1">'6a - ADIT'!$B$2:$H$126</definedName>
    <definedName name="Z_63011E91_4609_4523_98FE_FD252E915668_.wvu.PrintArea" localSheetId="8" hidden="1">'6b - ADIT'!$B$2:$H$125</definedName>
    <definedName name="Z_6928E596_79BD_4CEC_9F0D_07E62D69B2A5_.wvu.Cols" localSheetId="7" hidden="1">'6a - ADIT'!#REF!</definedName>
    <definedName name="Z_6928E596_79BD_4CEC_9F0D_07E62D69B2A5_.wvu.Cols" localSheetId="8" hidden="1">'6b - ADIT'!#REF!</definedName>
    <definedName name="Z_6928E596_79BD_4CEC_9F0D_07E62D69B2A5_.wvu.PrintArea" localSheetId="7" hidden="1">'6a - ADIT'!$B$2:$H$126</definedName>
    <definedName name="Z_6928E596_79BD_4CEC_9F0D_07E62D69B2A5_.wvu.PrintArea" localSheetId="8" hidden="1">'6b - ADIT'!$B$2:$H$125</definedName>
    <definedName name="Z_71B42B22_A376_44B5_B0C1_23FC1AA3DBA2_.wvu.Cols" localSheetId="7" hidden="1">'6a - ADIT'!#REF!</definedName>
    <definedName name="Z_71B42B22_A376_44B5_B0C1_23FC1AA3DBA2_.wvu.Cols" localSheetId="8" hidden="1">'6b - ADIT'!#REF!</definedName>
    <definedName name="Z_71B42B22_A376_44B5_B0C1_23FC1AA3DBA2_.wvu.PrintArea" localSheetId="7" hidden="1">'6a - ADIT'!$B$2:$H$126</definedName>
    <definedName name="Z_71B42B22_A376_44B5_B0C1_23FC1AA3DBA2_.wvu.PrintArea" localSheetId="8" hidden="1">'6b - ADIT'!$B$2:$H$125</definedName>
    <definedName name="Z_8FBB4DC9_2D51_4AB9_80D8_F8474B404C29_.wvu.Cols" localSheetId="7" hidden="1">'6a - ADIT'!#REF!</definedName>
    <definedName name="Z_8FBB4DC9_2D51_4AB9_80D8_F8474B404C29_.wvu.Cols" localSheetId="8" hidden="1">'6b - ADIT'!#REF!</definedName>
    <definedName name="Z_8FBB4DC9_2D51_4AB9_80D8_F8474B404C29_.wvu.PrintArea" localSheetId="7" hidden="1">'6a - ADIT'!$B$2:$H$126</definedName>
    <definedName name="Z_8FBB4DC9_2D51_4AB9_80D8_F8474B404C29_.wvu.PrintArea" localSheetId="8" hidden="1">'6b - ADIT'!$B$2:$H$125</definedName>
    <definedName name="Z_B0241363_5C8A_48FC_89A6_56D55586BABE_.wvu.PrintArea" localSheetId="2" hidden="1">'1 - Revenue Credits'!$A$6:$D$20</definedName>
    <definedName name="Z_B0241363_5C8A_48FC_89A6_56D55586BABE_.wvu.PrintArea" localSheetId="3" hidden="1">'2 - Cost Support'!#REF!</definedName>
    <definedName name="Z_B0241363_5C8A_48FC_89A6_56D55586BABE_.wvu.PrintArea" localSheetId="4" hidden="1">'3 - Cost Support'!$A$29:$M$135</definedName>
    <definedName name="Z_B0241363_5C8A_48FC_89A6_56D55586BABE_.wvu.PrintTitles" localSheetId="3" hidden="1">'2 - Cost Support'!#REF!</definedName>
    <definedName name="Z_B0241363_5C8A_48FC_89A6_56D55586BABE_.wvu.PrintTitles" localSheetId="4" hidden="1">'3 - Cost Support'!#REF!</definedName>
    <definedName name="Z_B0241363_5C8A_48FC_89A6_56D55586BABE_.wvu.Rows" localSheetId="3" hidden="1">'2 - Cost Support'!#REF!</definedName>
    <definedName name="Z_B0241363_5C8A_48FC_89A6_56D55586BABE_.wvu.Rows" localSheetId="4" hidden="1">'3 - Cost Support'!#REF!</definedName>
    <definedName name="Z_B647CB7F_C846_4278_B6B1_1EF7F3C004F5_.wvu.Cols" localSheetId="7" hidden="1">'6a - ADIT'!#REF!</definedName>
    <definedName name="Z_B647CB7F_C846_4278_B6B1_1EF7F3C004F5_.wvu.Cols" localSheetId="8" hidden="1">'6b - ADIT'!#REF!</definedName>
    <definedName name="Z_B647CB7F_C846_4278_B6B1_1EF7F3C004F5_.wvu.PrintArea" localSheetId="7" hidden="1">'6a - ADIT'!$B$2:$H$126</definedName>
    <definedName name="Z_B647CB7F_C846_4278_B6B1_1EF7F3C004F5_.wvu.PrintArea" localSheetId="8" hidden="1">'6b - ADIT'!$B$2:$H$125</definedName>
    <definedName name="Z_C0EA0F9F_7310_4201_82C9_7B8FC8DB9137_.wvu.PrintArea" localSheetId="2" hidden="1">'1 - Revenue Credits'!$A$6:$D$20</definedName>
    <definedName name="Z_C0EA0F9F_7310_4201_82C9_7B8FC8DB9137_.wvu.PrintArea" localSheetId="3" hidden="1">'2 - Cost Support'!#REF!</definedName>
    <definedName name="Z_C0EA0F9F_7310_4201_82C9_7B8FC8DB9137_.wvu.PrintArea" localSheetId="4" hidden="1">'3 - Cost Support'!$A$29:$M$135</definedName>
    <definedName name="Z_C0EA0F9F_7310_4201_82C9_7B8FC8DB9137_.wvu.PrintTitles" localSheetId="3" hidden="1">'2 - Cost Support'!#REF!</definedName>
    <definedName name="Z_C0EA0F9F_7310_4201_82C9_7B8FC8DB9137_.wvu.PrintTitles" localSheetId="4" hidden="1">'3 - Cost Support'!#REF!</definedName>
    <definedName name="Z_C0EA0F9F_7310_4201_82C9_7B8FC8DB9137_.wvu.Rows" localSheetId="3" hidden="1">'2 - Cost Support'!#REF!</definedName>
    <definedName name="Z_C0EA0F9F_7310_4201_82C9_7B8FC8DB9137_.wvu.Rows" localSheetId="4" hidden="1">'3 - Cost Support'!#REF!</definedName>
    <definedName name="Z_DC91DEF3_837B_4BB9_A81E_3B78C5914E6C_.wvu.Cols" localSheetId="7" hidden="1">'6a - ADIT'!#REF!</definedName>
    <definedName name="Z_DC91DEF3_837B_4BB9_A81E_3B78C5914E6C_.wvu.Cols" localSheetId="8" hidden="1">'6b - ADIT'!#REF!</definedName>
    <definedName name="Z_DC91DEF3_837B_4BB9_A81E_3B78C5914E6C_.wvu.PrintArea" localSheetId="7" hidden="1">'6a - ADIT'!$B$2:$H$126</definedName>
    <definedName name="Z_DC91DEF3_837B_4BB9_A81E_3B78C5914E6C_.wvu.PrintArea" localSheetId="8" hidden="1">'6b - ADIT'!$B$2:$H$125</definedName>
    <definedName name="Z_FAAD9AAC_1337_43AB_BF1F_CCF9DFCF5B78_.wvu.Cols" localSheetId="7" hidden="1">'6a - ADIT'!#REF!</definedName>
    <definedName name="Z_FAAD9AAC_1337_43AB_BF1F_CCF9DFCF5B78_.wvu.Cols" localSheetId="8" hidden="1">'6b - ADIT'!#REF!</definedName>
    <definedName name="Z_FAAD9AAC_1337_43AB_BF1F_CCF9DFCF5B78_.wvu.PrintArea" localSheetId="7" hidden="1">'6a - ADIT'!$B$2:$H$126</definedName>
    <definedName name="Z_FAAD9AAC_1337_43AB_BF1F_CCF9DFCF5B78_.wvu.PrintArea" localSheetId="8" hidden="1">'6b - ADIT'!$B$2:$H$125</definedName>
    <definedName name="zero">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4" i="3" l="1"/>
  <c r="I81" i="29"/>
  <c r="D144" i="3"/>
  <c r="B2" i="41"/>
  <c r="B2" i="42"/>
  <c r="A3" i="40"/>
  <c r="E9" i="9"/>
  <c r="B54" i="36"/>
  <c r="B46" i="36"/>
  <c r="C19" i="41"/>
  <c r="C21" i="41" s="1"/>
  <c r="C13" i="41"/>
  <c r="C14" i="41"/>
  <c r="C15" i="41"/>
  <c r="C16" i="41"/>
  <c r="C17" i="41"/>
  <c r="C18" i="41"/>
  <c r="C12" i="41"/>
  <c r="E128" i="29"/>
  <c r="E122" i="29"/>
  <c r="E123" i="29"/>
  <c r="E124" i="29"/>
  <c r="E125" i="29"/>
  <c r="E126" i="29"/>
  <c r="E127" i="29"/>
  <c r="E121" i="29"/>
  <c r="E120" i="29"/>
  <c r="D50" i="29"/>
  <c r="E158" i="9"/>
  <c r="E142" i="9"/>
  <c r="E126" i="9"/>
  <c r="E110" i="9"/>
  <c r="E94" i="9"/>
  <c r="E72" i="9"/>
  <c r="E56" i="9"/>
  <c r="E40" i="9"/>
  <c r="E24" i="9"/>
  <c r="A75" i="20"/>
  <c r="A76" i="20" s="1"/>
  <c r="A74" i="20"/>
  <c r="E88" i="3"/>
  <c r="E87" i="3"/>
  <c r="E86" i="3"/>
  <c r="E85" i="3"/>
  <c r="E81" i="3"/>
  <c r="E80" i="3"/>
  <c r="E79" i="3"/>
  <c r="E78" i="3"/>
  <c r="H174" i="9"/>
  <c r="G174" i="9"/>
  <c r="G171" i="9"/>
  <c r="H170" i="9"/>
  <c r="H169" i="9"/>
  <c r="H168" i="9"/>
  <c r="H167" i="9"/>
  <c r="H166" i="9"/>
  <c r="H165" i="9"/>
  <c r="H164" i="9"/>
  <c r="H163" i="9"/>
  <c r="H162" i="9"/>
  <c r="H161" i="9"/>
  <c r="H160" i="9"/>
  <c r="H159" i="9"/>
  <c r="H158" i="9"/>
  <c r="H171" i="9" s="1"/>
  <c r="G155" i="9"/>
  <c r="H154" i="9"/>
  <c r="H153" i="9"/>
  <c r="H152" i="9"/>
  <c r="H151" i="9"/>
  <c r="H150" i="9"/>
  <c r="H149" i="9"/>
  <c r="H148" i="9"/>
  <c r="H147" i="9"/>
  <c r="H146" i="9"/>
  <c r="H145" i="9"/>
  <c r="H144" i="9"/>
  <c r="H143" i="9"/>
  <c r="H142" i="9"/>
  <c r="H155" i="9" s="1"/>
  <c r="G139" i="9"/>
  <c r="H138" i="9"/>
  <c r="H137" i="9"/>
  <c r="H136" i="9"/>
  <c r="H135" i="9"/>
  <c r="H134" i="9"/>
  <c r="H133" i="9"/>
  <c r="H132" i="9"/>
  <c r="H131" i="9"/>
  <c r="H130" i="9"/>
  <c r="H129" i="9"/>
  <c r="H128" i="9"/>
  <c r="H127" i="9"/>
  <c r="H126" i="9"/>
  <c r="H139" i="9" s="1"/>
  <c r="G123" i="9"/>
  <c r="H122" i="9"/>
  <c r="H121" i="9"/>
  <c r="H120" i="9"/>
  <c r="H119" i="9"/>
  <c r="H118" i="9"/>
  <c r="H117" i="9"/>
  <c r="H116" i="9"/>
  <c r="H115" i="9"/>
  <c r="H114" i="9"/>
  <c r="H113" i="9"/>
  <c r="H112" i="9"/>
  <c r="H111" i="9"/>
  <c r="H110" i="9"/>
  <c r="H123" i="9" s="1"/>
  <c r="H106" i="9"/>
  <c r="H105" i="9"/>
  <c r="H104" i="9"/>
  <c r="H103" i="9"/>
  <c r="H102" i="9"/>
  <c r="H101" i="9"/>
  <c r="H100" i="9"/>
  <c r="H99" i="9"/>
  <c r="H98" i="9"/>
  <c r="H97" i="9"/>
  <c r="H96" i="9"/>
  <c r="H95" i="9"/>
  <c r="H94" i="9"/>
  <c r="H107" i="9" s="1"/>
  <c r="G107" i="9"/>
  <c r="H87" i="9"/>
  <c r="H84" i="9"/>
  <c r="H83" i="9"/>
  <c r="H82" i="9"/>
  <c r="H81" i="9"/>
  <c r="H80" i="9"/>
  <c r="H79" i="9"/>
  <c r="H78" i="9"/>
  <c r="H77" i="9"/>
  <c r="H76" i="9"/>
  <c r="H75" i="9"/>
  <c r="H74" i="9"/>
  <c r="H73" i="9"/>
  <c r="H72" i="9"/>
  <c r="H85" i="9" s="1"/>
  <c r="H68" i="9"/>
  <c r="H67" i="9"/>
  <c r="H66" i="9"/>
  <c r="H65" i="9"/>
  <c r="H64" i="9"/>
  <c r="H63" i="9"/>
  <c r="H62" i="9"/>
  <c r="H61" i="9"/>
  <c r="H60" i="9"/>
  <c r="H59" i="9"/>
  <c r="H58" i="9"/>
  <c r="H57" i="9"/>
  <c r="H56" i="9"/>
  <c r="H69" i="9" s="1"/>
  <c r="H52" i="9"/>
  <c r="H51" i="9"/>
  <c r="H50" i="9"/>
  <c r="H49" i="9"/>
  <c r="H48" i="9"/>
  <c r="H47" i="9"/>
  <c r="H46" i="9"/>
  <c r="H45" i="9"/>
  <c r="H44" i="9"/>
  <c r="H43" i="9"/>
  <c r="H42" i="9"/>
  <c r="H41" i="9"/>
  <c r="H40" i="9"/>
  <c r="H53" i="9" s="1"/>
  <c r="H36" i="9"/>
  <c r="H35" i="9"/>
  <c r="H34" i="9"/>
  <c r="H33" i="9"/>
  <c r="H32" i="9"/>
  <c r="H31" i="9"/>
  <c r="H30" i="9"/>
  <c r="H29" i="9"/>
  <c r="H28" i="9"/>
  <c r="H27" i="9"/>
  <c r="H26" i="9"/>
  <c r="H25" i="9"/>
  <c r="H24" i="9"/>
  <c r="H37" i="9" s="1"/>
  <c r="H21" i="9"/>
  <c r="H9" i="9"/>
  <c r="H10" i="9"/>
  <c r="H11" i="9"/>
  <c r="H12" i="9"/>
  <c r="H13" i="9"/>
  <c r="H14" i="9"/>
  <c r="H15" i="9"/>
  <c r="H16" i="9"/>
  <c r="H17" i="9"/>
  <c r="H18" i="9"/>
  <c r="H19" i="9"/>
  <c r="H20" i="9"/>
  <c r="H8" i="9"/>
  <c r="G85" i="9"/>
  <c r="G69" i="9"/>
  <c r="G53" i="9"/>
  <c r="G37" i="9"/>
  <c r="G21" i="9"/>
  <c r="G87" i="9" s="1"/>
  <c r="D145" i="3"/>
  <c r="J11" i="41"/>
  <c r="Q41" i="38"/>
  <c r="Q14" i="38"/>
  <c r="Q15" i="38"/>
  <c r="H11" i="41"/>
  <c r="D99" i="3"/>
  <c r="H19" i="23"/>
  <c r="F10" i="22"/>
  <c r="E10" i="22"/>
  <c r="D10" i="22"/>
  <c r="F10" i="23"/>
  <c r="E10" i="23"/>
  <c r="D10" i="23"/>
  <c r="A28" i="23"/>
  <c r="A12" i="23"/>
  <c r="A13" i="23"/>
  <c r="A14" i="23"/>
  <c r="A15" i="23" s="1"/>
  <c r="A16" i="23" s="1"/>
  <c r="A17" i="23" s="1"/>
  <c r="A18" i="23" s="1"/>
  <c r="A19" i="23" s="1"/>
  <c r="A20" i="23" s="1"/>
  <c r="A11" i="23"/>
  <c r="G27" i="42"/>
  <c r="C27" i="42"/>
  <c r="D25" i="42"/>
  <c r="D24" i="42" s="1"/>
  <c r="E15" i="42"/>
  <c r="E16" i="42" s="1"/>
  <c r="E17" i="42" s="1"/>
  <c r="E18" i="42" s="1"/>
  <c r="E19" i="42" s="1"/>
  <c r="E20" i="42" s="1"/>
  <c r="E21" i="42" s="1"/>
  <c r="E22" i="42" s="1"/>
  <c r="E23" i="42" s="1"/>
  <c r="E24" i="42" s="1"/>
  <c r="E25" i="42" s="1"/>
  <c r="E26" i="42" s="1"/>
  <c r="F26" i="42" s="1"/>
  <c r="H26" i="42" s="1"/>
  <c r="A15" i="42"/>
  <c r="A16" i="42" s="1"/>
  <c r="A17" i="42" s="1"/>
  <c r="A18" i="42" s="1"/>
  <c r="A19" i="42" s="1"/>
  <c r="A20" i="42" s="1"/>
  <c r="A21" i="42" s="1"/>
  <c r="A22" i="42" s="1"/>
  <c r="A23" i="42" s="1"/>
  <c r="A24" i="42" s="1"/>
  <c r="A25" i="42" s="1"/>
  <c r="A26" i="42" s="1"/>
  <c r="A27" i="42" s="1"/>
  <c r="A33" i="42" s="1"/>
  <c r="A34" i="42" s="1"/>
  <c r="A35" i="42" s="1"/>
  <c r="A36" i="42" s="1"/>
  <c r="A37" i="42" s="1"/>
  <c r="A38" i="42" s="1"/>
  <c r="A39" i="42" s="1"/>
  <c r="A40" i="42" s="1"/>
  <c r="A41" i="42" s="1"/>
  <c r="A42" i="42" s="1"/>
  <c r="A43" i="42" s="1"/>
  <c r="A44" i="42" s="1"/>
  <c r="P14" i="42"/>
  <c r="K24" i="41"/>
  <c r="I24" i="41"/>
  <c r="D24" i="41"/>
  <c r="E22" i="41"/>
  <c r="E21" i="41"/>
  <c r="E20" i="41" s="1"/>
  <c r="F12" i="41"/>
  <c r="F13" i="41" s="1"/>
  <c r="F14" i="41" s="1"/>
  <c r="F15" i="41" s="1"/>
  <c r="F16" i="41" s="1"/>
  <c r="F17" i="41" s="1"/>
  <c r="F18" i="41" s="1"/>
  <c r="F19" i="41" s="1"/>
  <c r="F20" i="41" s="1"/>
  <c r="F21" i="41" s="1"/>
  <c r="F22" i="41" s="1"/>
  <c r="A12" i="41"/>
  <c r="A13" i="41" s="1"/>
  <c r="A14" i="41" s="1"/>
  <c r="A15" i="41" s="1"/>
  <c r="A16" i="41" s="1"/>
  <c r="A17" i="41" s="1"/>
  <c r="A18" i="41" s="1"/>
  <c r="A19" i="41" s="1"/>
  <c r="A20" i="41" s="1"/>
  <c r="A21" i="41" s="1"/>
  <c r="A22" i="41" s="1"/>
  <c r="A23" i="41" s="1"/>
  <c r="A24" i="41" s="1"/>
  <c r="G11" i="41"/>
  <c r="C20" i="41" l="1"/>
  <c r="C23" i="41"/>
  <c r="C22" i="41"/>
  <c r="D23" i="42"/>
  <c r="F24" i="42"/>
  <c r="H24" i="42" s="1"/>
  <c r="F25" i="42"/>
  <c r="H25" i="42" s="1"/>
  <c r="E19" i="41"/>
  <c r="G20" i="41"/>
  <c r="F23" i="41"/>
  <c r="G23" i="41" s="1"/>
  <c r="G22" i="41"/>
  <c r="S11" i="41"/>
  <c r="H24" i="41"/>
  <c r="G21" i="41"/>
  <c r="D22" i="42" l="1"/>
  <c r="F23" i="42"/>
  <c r="H23" i="42" s="1"/>
  <c r="J21" i="41"/>
  <c r="J22" i="41"/>
  <c r="J23" i="41"/>
  <c r="J20" i="41"/>
  <c r="E18" i="41"/>
  <c r="G19" i="41"/>
  <c r="D21" i="42" l="1"/>
  <c r="F22" i="42"/>
  <c r="H22" i="42" s="1"/>
  <c r="J19" i="41"/>
  <c r="E17" i="41"/>
  <c r="G18" i="41"/>
  <c r="D20" i="42" l="1"/>
  <c r="F21" i="42"/>
  <c r="H21" i="42" s="1"/>
  <c r="J18" i="41"/>
  <c r="G17" i="41"/>
  <c r="E16" i="41"/>
  <c r="F20" i="42" l="1"/>
  <c r="H20" i="42" s="1"/>
  <c r="D19" i="42"/>
  <c r="G16" i="41"/>
  <c r="E15" i="41"/>
  <c r="J17" i="41"/>
  <c r="D18" i="42" l="1"/>
  <c r="F19" i="42"/>
  <c r="H19" i="42" s="1"/>
  <c r="G15" i="41"/>
  <c r="E14" i="41"/>
  <c r="J16" i="41"/>
  <c r="D17" i="42" l="1"/>
  <c r="F18" i="42"/>
  <c r="H18" i="42" s="1"/>
  <c r="E13" i="41"/>
  <c r="G14" i="41"/>
  <c r="J15" i="41"/>
  <c r="D16" i="42" l="1"/>
  <c r="F17" i="42"/>
  <c r="H17" i="42" s="1"/>
  <c r="J14" i="41"/>
  <c r="E12" i="41"/>
  <c r="G12" i="41" s="1"/>
  <c r="J12" i="41" s="1"/>
  <c r="G13" i="41"/>
  <c r="F16" i="42" l="1"/>
  <c r="H16" i="42" s="1"/>
  <c r="D15" i="42"/>
  <c r="F15" i="42" s="1"/>
  <c r="H15" i="42" s="1"/>
  <c r="J13" i="41"/>
  <c r="I15" i="42" l="1"/>
  <c r="I16" i="42" s="1"/>
  <c r="I17" i="42" s="1"/>
  <c r="I18" i="42" s="1"/>
  <c r="I19" i="42" s="1"/>
  <c r="I20" i="42" s="1"/>
  <c r="I21" i="42" s="1"/>
  <c r="I22" i="42" s="1"/>
  <c r="I23" i="42" s="1"/>
  <c r="I24" i="42" s="1"/>
  <c r="I25" i="42" s="1"/>
  <c r="I26" i="42" s="1"/>
  <c r="H27" i="42"/>
  <c r="J24" i="41"/>
  <c r="A39" i="5" l="1"/>
  <c r="A40" i="5" s="1"/>
  <c r="A41" i="5" s="1"/>
  <c r="A42" i="5" s="1"/>
  <c r="A43" i="5" s="1"/>
  <c r="A44" i="5" s="1"/>
  <c r="A45" i="5" s="1"/>
  <c r="A46" i="5" s="1"/>
  <c r="A47" i="5" s="1"/>
  <c r="A48" i="5" s="1"/>
  <c r="D31" i="5"/>
  <c r="E31" i="5"/>
  <c r="F31" i="5"/>
  <c r="E58" i="36"/>
  <c r="J150" i="3" l="1"/>
  <c r="A45" i="20"/>
  <c r="A47" i="20" s="1"/>
  <c r="A49" i="20" s="1"/>
  <c r="A51" i="20" s="1"/>
  <c r="A53" i="20" s="1"/>
  <c r="D58" i="36"/>
  <c r="A12" i="36"/>
  <c r="A13" i="36" s="1"/>
  <c r="A14" i="36" s="1"/>
  <c r="A15" i="36" s="1"/>
  <c r="A16" i="36" s="1"/>
  <c r="A17" i="36" s="1"/>
  <c r="A18" i="36" s="1"/>
  <c r="A19" i="36" s="1"/>
  <c r="A20" i="36" s="1"/>
  <c r="A21" i="36" s="1"/>
  <c r="A30" i="36" s="1"/>
  <c r="A31" i="36" s="1"/>
  <c r="A32" i="36" s="1"/>
  <c r="A33" i="36" s="1"/>
  <c r="A34" i="36" s="1"/>
  <c r="A35" i="36" s="1"/>
  <c r="A36" i="36" s="1"/>
  <c r="A37" i="36" s="1"/>
  <c r="A38" i="36" s="1"/>
  <c r="A39" i="36" s="1"/>
  <c r="A40" i="36" s="1"/>
  <c r="A41" i="36" s="1"/>
  <c r="A42" i="36" s="1"/>
  <c r="A46" i="36" s="1"/>
  <c r="A47" i="36" s="1"/>
  <c r="A48" i="36" s="1"/>
  <c r="A49" i="36" s="1"/>
  <c r="A50" i="36" s="1"/>
  <c r="A51" i="36" s="1"/>
  <c r="A52" i="36" s="1"/>
  <c r="A53" i="36" s="1"/>
  <c r="A54" i="36" s="1"/>
  <c r="A55" i="36" s="1"/>
  <c r="A56" i="36" s="1"/>
  <c r="A57" i="36" s="1"/>
  <c r="A58" i="36" s="1"/>
  <c r="A59" i="36" s="1"/>
  <c r="G10" i="36"/>
  <c r="H10" i="36"/>
  <c r="I10" i="36"/>
  <c r="J10" i="36"/>
  <c r="K10" i="36"/>
  <c r="L10" i="36"/>
  <c r="M10" i="36" s="1"/>
  <c r="O10" i="36" s="1"/>
  <c r="F10" i="36"/>
  <c r="F20" i="30"/>
  <c r="F14" i="17" s="1"/>
  <c r="A3" i="30"/>
  <c r="B41" i="17"/>
  <c r="B42" i="17"/>
  <c r="B43" i="17"/>
  <c r="B44" i="17"/>
  <c r="B45" i="17"/>
  <c r="B46" i="17" s="1"/>
  <c r="B40" i="17"/>
  <c r="B23" i="17"/>
  <c r="B24" i="17"/>
  <c r="B25" i="17"/>
  <c r="B26" i="17"/>
  <c r="B27" i="17"/>
  <c r="B28" i="17" s="1"/>
  <c r="B22" i="17"/>
  <c r="A27" i="22"/>
  <c r="A28" i="22" s="1"/>
  <c r="A29" i="22" s="1"/>
  <c r="A30" i="22" s="1"/>
  <c r="A31" i="22" s="1"/>
  <c r="A32" i="22" s="1"/>
  <c r="A33" i="22" s="1"/>
  <c r="A34" i="22" s="1"/>
  <c r="A35" i="22" s="1"/>
  <c r="A36" i="22" s="1"/>
  <c r="A37" i="22" s="1"/>
  <c r="A38" i="22" s="1"/>
  <c r="A39" i="22" s="1"/>
  <c r="A40" i="22" s="1"/>
  <c r="A56" i="22" s="1"/>
  <c r="A57" i="22" s="1"/>
  <c r="A58" i="22" s="1"/>
  <c r="A59" i="22" s="1"/>
  <c r="A60" i="22" s="1"/>
  <c r="A61" i="22" s="1"/>
  <c r="A62" i="22" s="1"/>
  <c r="A63" i="22" s="1"/>
  <c r="A64" i="22" s="1"/>
  <c r="A65" i="22" s="1"/>
  <c r="A66" i="22" s="1"/>
  <c r="A67" i="22" s="1"/>
  <c r="A68" i="22" s="1"/>
  <c r="A84" i="22" s="1"/>
  <c r="A85" i="22" s="1"/>
  <c r="A86" i="22" s="1"/>
  <c r="A87" i="22" s="1"/>
  <c r="A88" i="22" s="1"/>
  <c r="A89" i="22" s="1"/>
  <c r="A90" i="22" s="1"/>
  <c r="A91" i="22" s="1"/>
  <c r="A92" i="22" s="1"/>
  <c r="A93" i="22" s="1"/>
  <c r="A94" i="22" s="1"/>
  <c r="A95" i="22" s="1"/>
  <c r="A96" i="22" s="1"/>
  <c r="A97" i="22" s="1"/>
  <c r="A29" i="23"/>
  <c r="A30" i="23" s="1"/>
  <c r="A31" i="23" s="1"/>
  <c r="A32" i="23" s="1"/>
  <c r="A33" i="23" s="1"/>
  <c r="A34" i="23" s="1"/>
  <c r="A35" i="23" s="1"/>
  <c r="A36" i="23" s="1"/>
  <c r="A37" i="23" s="1"/>
  <c r="A38" i="23" s="1"/>
  <c r="A39" i="23" s="1"/>
  <c r="A40" i="23" s="1"/>
  <c r="A41" i="23" s="1"/>
  <c r="A57" i="23" s="1"/>
  <c r="A58" i="23" s="1"/>
  <c r="A59" i="23" s="1"/>
  <c r="A60" i="23" s="1"/>
  <c r="A61" i="23" s="1"/>
  <c r="A62" i="23" s="1"/>
  <c r="A63" i="23" s="1"/>
  <c r="A64" i="23" s="1"/>
  <c r="A65" i="23" s="1"/>
  <c r="A66" i="23" s="1"/>
  <c r="A67" i="23" s="1"/>
  <c r="A68" i="23" s="1"/>
  <c r="A69" i="23" s="1"/>
  <c r="A85" i="23" s="1"/>
  <c r="A86" i="23" s="1"/>
  <c r="A87" i="23" s="1"/>
  <c r="A88" i="23" s="1"/>
  <c r="A89" i="23" s="1"/>
  <c r="A90" i="23" s="1"/>
  <c r="A91" i="23" s="1"/>
  <c r="A92" i="23" s="1"/>
  <c r="A93" i="23" s="1"/>
  <c r="A94" i="23" s="1"/>
  <c r="A95" i="23" s="1"/>
  <c r="A96" i="23" s="1"/>
  <c r="A97" i="23" s="1"/>
  <c r="A98" i="23" s="1"/>
  <c r="H17" i="23"/>
  <c r="D34" i="38"/>
  <c r="Q31" i="38"/>
  <c r="Q32" i="38"/>
  <c r="Q33" i="38"/>
  <c r="Q21" i="38"/>
  <c r="Q19" i="38"/>
  <c r="Q13" i="38"/>
  <c r="Q39" i="38"/>
  <c r="L8" i="38"/>
  <c r="K133" i="29"/>
  <c r="E109" i="3" s="1"/>
  <c r="H133" i="29"/>
  <c r="H121" i="29"/>
  <c r="H122" i="29"/>
  <c r="H123" i="29"/>
  <c r="H124" i="29"/>
  <c r="H125" i="29"/>
  <c r="H126" i="29"/>
  <c r="H127" i="29"/>
  <c r="H128" i="29"/>
  <c r="H129" i="29"/>
  <c r="H130" i="29"/>
  <c r="H131" i="29"/>
  <c r="H132" i="29"/>
  <c r="H120" i="29"/>
  <c r="M91" i="29"/>
  <c r="F63" i="29"/>
  <c r="G63" i="29"/>
  <c r="H63" i="29"/>
  <c r="I63" i="29"/>
  <c r="J63" i="29"/>
  <c r="D52" i="29"/>
  <c r="D53" i="29"/>
  <c r="D54" i="29"/>
  <c r="D55" i="29"/>
  <c r="D56" i="29"/>
  <c r="D57" i="29"/>
  <c r="D58" i="29" s="1"/>
  <c r="D51" i="29"/>
  <c r="E63" i="29"/>
  <c r="D35" i="29" s="1"/>
  <c r="I34" i="29"/>
  <c r="F25" i="29"/>
  <c r="F171" i="9"/>
  <c r="F155" i="9"/>
  <c r="F139" i="9"/>
  <c r="F123" i="9"/>
  <c r="F107" i="9"/>
  <c r="F85" i="9"/>
  <c r="F69" i="9"/>
  <c r="F53" i="9"/>
  <c r="F37" i="9"/>
  <c r="F21" i="9"/>
  <c r="E14" i="29"/>
  <c r="E15" i="29"/>
  <c r="E16" i="29"/>
  <c r="E17" i="29"/>
  <c r="E18" i="29"/>
  <c r="E19" i="29"/>
  <c r="E20" i="29" s="1"/>
  <c r="E13" i="29"/>
  <c r="E132" i="29" l="1"/>
  <c r="E131" i="29"/>
  <c r="E130" i="29"/>
  <c r="E129" i="29"/>
  <c r="N10" i="36"/>
  <c r="Q10" i="36"/>
  <c r="P10" i="36"/>
  <c r="B30" i="17"/>
  <c r="B31" i="17"/>
  <c r="B32" i="17"/>
  <c r="B29" i="17"/>
  <c r="B48" i="17"/>
  <c r="B49" i="17"/>
  <c r="B50" i="17"/>
  <c r="B47" i="17"/>
  <c r="D60" i="29"/>
  <c r="D61" i="29"/>
  <c r="D62" i="29"/>
  <c r="D59" i="29"/>
  <c r="E24" i="29"/>
  <c r="E21" i="29"/>
  <c r="E22" i="29"/>
  <c r="E23" i="29"/>
  <c r="C59" i="36" l="1"/>
  <c r="J86" i="3" s="1"/>
  <c r="F87" i="9" l="1"/>
  <c r="E160" i="9"/>
  <c r="E161" i="9"/>
  <c r="E162" i="9"/>
  <c r="E163" i="9"/>
  <c r="E164" i="9"/>
  <c r="E165" i="9"/>
  <c r="E166" i="9" s="1"/>
  <c r="E159" i="9"/>
  <c r="E144" i="9"/>
  <c r="E145" i="9"/>
  <c r="E146" i="9"/>
  <c r="E147" i="9"/>
  <c r="E148" i="9"/>
  <c r="E149" i="9"/>
  <c r="E150" i="9" s="1"/>
  <c r="E143" i="9"/>
  <c r="E128" i="9"/>
  <c r="E129" i="9"/>
  <c r="E130" i="9"/>
  <c r="E131" i="9"/>
  <c r="E132" i="9"/>
  <c r="E133" i="9"/>
  <c r="E127" i="9"/>
  <c r="E134" i="9"/>
  <c r="E136" i="9" s="1"/>
  <c r="E112" i="9"/>
  <c r="E113" i="9"/>
  <c r="E114" i="9"/>
  <c r="E115" i="9"/>
  <c r="E116" i="9"/>
  <c r="E117" i="9"/>
  <c r="E118" i="9" s="1"/>
  <c r="E120" i="9" s="1"/>
  <c r="E111" i="9"/>
  <c r="E96" i="9"/>
  <c r="E97" i="9"/>
  <c r="E98" i="9"/>
  <c r="E99" i="9"/>
  <c r="E100" i="9"/>
  <c r="E101" i="9"/>
  <c r="E102" i="9" s="1"/>
  <c r="E104" i="9" s="1"/>
  <c r="E95" i="9"/>
  <c r="E58" i="9"/>
  <c r="E59" i="9"/>
  <c r="E60" i="9"/>
  <c r="E61" i="9"/>
  <c r="E62" i="9"/>
  <c r="E63" i="9"/>
  <c r="E74" i="9" s="1"/>
  <c r="E57" i="9"/>
  <c r="E42" i="9"/>
  <c r="E43" i="9"/>
  <c r="E44" i="9"/>
  <c r="E45" i="9"/>
  <c r="E46" i="9"/>
  <c r="E47" i="9"/>
  <c r="E48" i="9" s="1"/>
  <c r="E41" i="9"/>
  <c r="E26" i="9"/>
  <c r="E27" i="9"/>
  <c r="E28" i="9"/>
  <c r="E29" i="9"/>
  <c r="E30" i="9"/>
  <c r="E31" i="9"/>
  <c r="E32" i="9" s="1"/>
  <c r="E25" i="9"/>
  <c r="E10" i="9"/>
  <c r="E11" i="9"/>
  <c r="E12" i="9"/>
  <c r="E13" i="9"/>
  <c r="E14" i="9"/>
  <c r="E15" i="9"/>
  <c r="E16" i="9" s="1"/>
  <c r="C48" i="5"/>
  <c r="D15" i="5"/>
  <c r="E78" i="9" l="1"/>
  <c r="E77" i="9"/>
  <c r="E73" i="9"/>
  <c r="E79" i="9"/>
  <c r="E80" i="9" s="1"/>
  <c r="E82" i="9" s="1"/>
  <c r="E64" i="9"/>
  <c r="E66" i="9" s="1"/>
  <c r="E33" i="9"/>
  <c r="E35" i="9"/>
  <c r="E36" i="9"/>
  <c r="E34" i="9"/>
  <c r="E154" i="9"/>
  <c r="E153" i="9"/>
  <c r="E152" i="9"/>
  <c r="E138" i="9"/>
  <c r="E135" i="9"/>
  <c r="E137" i="9"/>
  <c r="E18" i="9"/>
  <c r="E19" i="9"/>
  <c r="E20" i="9"/>
  <c r="E17" i="9"/>
  <c r="E49" i="9"/>
  <c r="E52" i="9"/>
  <c r="E51" i="9"/>
  <c r="E50" i="9"/>
  <c r="E168" i="9"/>
  <c r="E169" i="9"/>
  <c r="E170" i="9"/>
  <c r="E167" i="9"/>
  <c r="E76" i="9"/>
  <c r="E119" i="9"/>
  <c r="E75" i="9"/>
  <c r="E122" i="9"/>
  <c r="E121" i="9"/>
  <c r="E103" i="9"/>
  <c r="E106" i="9"/>
  <c r="E68" i="9"/>
  <c r="E105" i="9"/>
  <c r="E67" i="9"/>
  <c r="E151" i="9"/>
  <c r="E84" i="9" l="1"/>
  <c r="E65" i="9"/>
  <c r="E83" i="9"/>
  <c r="E81" i="9"/>
  <c r="E165" i="3"/>
  <c r="D137" i="3"/>
  <c r="D136" i="3"/>
  <c r="D212" i="3" l="1"/>
  <c r="O42" i="36"/>
  <c r="J212" i="3" s="1"/>
  <c r="J219" i="3" s="1"/>
  <c r="E146" i="3" l="1"/>
  <c r="E145" i="3"/>
  <c r="H8" i="29"/>
  <c r="E170" i="3" s="1"/>
  <c r="E162" i="3"/>
  <c r="D105" i="3"/>
  <c r="E142" i="3" l="1"/>
  <c r="D24" i="3"/>
  <c r="K6" i="39"/>
  <c r="Q29" i="38"/>
  <c r="Q30" i="38"/>
  <c r="Q28" i="38"/>
  <c r="H239" i="3"/>
  <c r="O34" i="38"/>
  <c r="N34" i="38"/>
  <c r="M34" i="38"/>
  <c r="L34" i="38"/>
  <c r="K34" i="38"/>
  <c r="I34" i="38"/>
  <c r="H34" i="38"/>
  <c r="G34" i="38"/>
  <c r="F34" i="38"/>
  <c r="E34" i="38"/>
  <c r="P20" i="38"/>
  <c r="P23" i="38" s="1"/>
  <c r="O20" i="38"/>
  <c r="O23" i="38" s="1"/>
  <c r="N20" i="38"/>
  <c r="N23" i="38" s="1"/>
  <c r="M20" i="38"/>
  <c r="M23" i="38" s="1"/>
  <c r="L20" i="38"/>
  <c r="L23" i="38" s="1"/>
  <c r="K20" i="38"/>
  <c r="K23" i="38"/>
  <c r="I20" i="38"/>
  <c r="I23" i="38" s="1"/>
  <c r="I25" i="38" s="1"/>
  <c r="H20" i="38"/>
  <c r="H23" i="38" s="1"/>
  <c r="H25" i="38" s="1"/>
  <c r="G20" i="38"/>
  <c r="G23" i="38" s="1"/>
  <c r="G25" i="38" s="1"/>
  <c r="F20" i="38"/>
  <c r="F23" i="38" s="1"/>
  <c r="F25" i="38" s="1"/>
  <c r="E20" i="38"/>
  <c r="E23" i="38" s="1"/>
  <c r="D20" i="38"/>
  <c r="D23" i="38" s="1"/>
  <c r="J34" i="38"/>
  <c r="J20" i="38"/>
  <c r="J23" i="38" s="1"/>
  <c r="C27" i="22"/>
  <c r="C65" i="22"/>
  <c r="A6" i="20"/>
  <c r="B2" i="22"/>
  <c r="B48" i="22" s="1"/>
  <c r="B76" i="22" s="1"/>
  <c r="A3" i="17"/>
  <c r="C96" i="22"/>
  <c r="C67" i="22"/>
  <c r="C66" i="22"/>
  <c r="C39" i="22"/>
  <c r="C89" i="23"/>
  <c r="C68" i="23"/>
  <c r="C67" i="23"/>
  <c r="C40" i="23"/>
  <c r="C39" i="23"/>
  <c r="C32" i="23"/>
  <c r="C38" i="22"/>
  <c r="E95" i="22"/>
  <c r="C95" i="22" s="1"/>
  <c r="C31" i="22"/>
  <c r="C94" i="22"/>
  <c r="C30" i="22"/>
  <c r="C29" i="22"/>
  <c r="C28" i="22"/>
  <c r="E96" i="23"/>
  <c r="C96" i="23"/>
  <c r="C88" i="23"/>
  <c r="C87" i="23"/>
  <c r="C86" i="23"/>
  <c r="C85" i="23"/>
  <c r="C57" i="23"/>
  <c r="C66" i="23" s="1"/>
  <c r="C31" i="23"/>
  <c r="C30" i="23"/>
  <c r="C29" i="23"/>
  <c r="C28" i="23"/>
  <c r="F21" i="17"/>
  <c r="C7" i="39"/>
  <c r="C4" i="39"/>
  <c r="C5" i="39"/>
  <c r="K5" i="39"/>
  <c r="E110" i="3"/>
  <c r="N39" i="36"/>
  <c r="P39" i="36" s="1"/>
  <c r="R18" i="36"/>
  <c r="I40" i="29"/>
  <c r="I39" i="29"/>
  <c r="I38" i="29"/>
  <c r="I37" i="29"/>
  <c r="I36" i="29"/>
  <c r="E34" i="5"/>
  <c r="E36" i="5" s="1"/>
  <c r="C29" i="5"/>
  <c r="C28" i="5"/>
  <c r="C27" i="5"/>
  <c r="J205" i="3"/>
  <c r="A3" i="38"/>
  <c r="A3" i="29"/>
  <c r="P34" i="38"/>
  <c r="B23" i="38"/>
  <c r="Q22" i="38"/>
  <c r="Q17" i="38"/>
  <c r="P15" i="38"/>
  <c r="O15" i="38"/>
  <c r="N15" i="38"/>
  <c r="M15" i="38"/>
  <c r="L15" i="38"/>
  <c r="K15" i="38"/>
  <c r="J15" i="38"/>
  <c r="I15" i="38"/>
  <c r="H15" i="38"/>
  <c r="G15" i="38"/>
  <c r="F15" i="38"/>
  <c r="E15" i="38"/>
  <c r="D15" i="38"/>
  <c r="Q12" i="38"/>
  <c r="Q11" i="38"/>
  <c r="A11" i="38"/>
  <c r="N41" i="36"/>
  <c r="P41" i="36" s="1"/>
  <c r="N40" i="36"/>
  <c r="P40" i="36" s="1"/>
  <c r="N38" i="36"/>
  <c r="P38" i="36" s="1"/>
  <c r="N37" i="36"/>
  <c r="P37" i="36" s="1"/>
  <c r="N36" i="36"/>
  <c r="P36" i="36" s="1"/>
  <c r="N35" i="36"/>
  <c r="P35" i="36" s="1"/>
  <c r="N34" i="36"/>
  <c r="P34" i="36" s="1"/>
  <c r="N33" i="36"/>
  <c r="P33" i="36" s="1"/>
  <c r="N32" i="36"/>
  <c r="P32" i="36" s="1"/>
  <c r="N31" i="36"/>
  <c r="P31" i="36" s="1"/>
  <c r="N30" i="36"/>
  <c r="P30" i="36" s="1"/>
  <c r="R20" i="36"/>
  <c r="R19" i="36"/>
  <c r="R17" i="36"/>
  <c r="R16" i="36"/>
  <c r="R15" i="36"/>
  <c r="R14" i="36"/>
  <c r="R13" i="36"/>
  <c r="R12" i="36"/>
  <c r="R11" i="36"/>
  <c r="C267" i="3"/>
  <c r="C168" i="3"/>
  <c r="A8" i="30"/>
  <c r="A9" i="30" s="1"/>
  <c r="A10" i="30" s="1"/>
  <c r="A11" i="30" s="1"/>
  <c r="A12" i="30" s="1"/>
  <c r="A13" i="30" s="1"/>
  <c r="A14" i="30" s="1"/>
  <c r="A15" i="30" s="1"/>
  <c r="A16" i="30" s="1"/>
  <c r="A17" i="30" s="1"/>
  <c r="A18" i="30" s="1"/>
  <c r="A20" i="30" s="1"/>
  <c r="G108" i="29"/>
  <c r="I98" i="29"/>
  <c r="G8" i="29"/>
  <c r="E101" i="3" s="1"/>
  <c r="A15" i="20"/>
  <c r="A17" i="20" s="1"/>
  <c r="C18" i="3"/>
  <c r="G95" i="23"/>
  <c r="G98" i="23" s="1"/>
  <c r="F11" i="23" s="1"/>
  <c r="F95" i="23"/>
  <c r="F98" i="23" s="1"/>
  <c r="E11" i="23" s="1"/>
  <c r="E95" i="23"/>
  <c r="E98" i="23" s="1"/>
  <c r="D11" i="23" s="1"/>
  <c r="D95" i="23"/>
  <c r="D98" i="23" s="1"/>
  <c r="C98" i="23" s="1"/>
  <c r="G66" i="23"/>
  <c r="G69" i="23"/>
  <c r="F13" i="23"/>
  <c r="F66" i="23"/>
  <c r="F69" i="23" s="1"/>
  <c r="E66" i="23"/>
  <c r="E69" i="23" s="1"/>
  <c r="D66" i="23"/>
  <c r="D69" i="23" s="1"/>
  <c r="G38" i="23"/>
  <c r="G41" i="23" s="1"/>
  <c r="F12" i="23" s="1"/>
  <c r="F38" i="23"/>
  <c r="F41" i="23"/>
  <c r="E12" i="23" s="1"/>
  <c r="E38" i="23"/>
  <c r="E41" i="23" s="1"/>
  <c r="D12" i="23" s="1"/>
  <c r="D38" i="23"/>
  <c r="D41" i="23" s="1"/>
  <c r="C41" i="23" s="1"/>
  <c r="B2" i="23"/>
  <c r="B49" i="23" s="1"/>
  <c r="B77" i="23" s="1"/>
  <c r="G94" i="22"/>
  <c r="G97" i="22"/>
  <c r="F11" i="22" s="1"/>
  <c r="F94" i="22"/>
  <c r="E94" i="22"/>
  <c r="E97" i="22" s="1"/>
  <c r="D11" i="22" s="1"/>
  <c r="D94" i="22"/>
  <c r="D97" i="22" s="1"/>
  <c r="C97" i="22" s="1"/>
  <c r="G65" i="22"/>
  <c r="G68" i="22" s="1"/>
  <c r="F13" i="22" s="1"/>
  <c r="F65" i="22"/>
  <c r="F68" i="22" s="1"/>
  <c r="E13" i="22" s="1"/>
  <c r="D65" i="22"/>
  <c r="D68" i="22"/>
  <c r="G37" i="22"/>
  <c r="G40" i="22" s="1"/>
  <c r="F12" i="22" s="1"/>
  <c r="F37" i="22"/>
  <c r="F40" i="22"/>
  <c r="E12" i="22" s="1"/>
  <c r="E37" i="22"/>
  <c r="E40" i="22"/>
  <c r="D12" i="22" s="1"/>
  <c r="D37" i="22"/>
  <c r="D40" i="22" s="1"/>
  <c r="C40" i="22" s="1"/>
  <c r="B36" i="5"/>
  <c r="F34" i="5"/>
  <c r="F36" i="5" s="1"/>
  <c r="C240" i="3"/>
  <c r="C236" i="3"/>
  <c r="A8" i="9"/>
  <c r="A18" i="3"/>
  <c r="D20" i="3" s="1"/>
  <c r="A3" i="9"/>
  <c r="A3" i="5"/>
  <c r="J92" i="3"/>
  <c r="M70" i="3"/>
  <c r="M132" i="3" s="1"/>
  <c r="M198" i="3" s="1"/>
  <c r="M250" i="3" s="1"/>
  <c r="E71" i="3"/>
  <c r="E133" i="3" s="1"/>
  <c r="G22" i="17"/>
  <c r="G23" i="17" s="1"/>
  <c r="G24" i="17" s="1"/>
  <c r="G25" i="17" s="1"/>
  <c r="G26" i="17" s="1"/>
  <c r="G27" i="17" s="1"/>
  <c r="G28" i="17" s="1"/>
  <c r="G29" i="17" s="1"/>
  <c r="G30" i="17" s="1"/>
  <c r="G31" i="17" s="1"/>
  <c r="G32" i="17" s="1"/>
  <c r="A10" i="5"/>
  <c r="A11" i="5" s="1"/>
  <c r="A12" i="5" s="1"/>
  <c r="A13" i="5" s="1"/>
  <c r="A15" i="5" s="1"/>
  <c r="E18" i="3"/>
  <c r="G18" i="3"/>
  <c r="C85" i="3"/>
  <c r="C92" i="3" s="1"/>
  <c r="G85" i="3"/>
  <c r="G105" i="3"/>
  <c r="C87" i="3"/>
  <c r="C94" i="3" s="1"/>
  <c r="G87" i="3"/>
  <c r="C107" i="3"/>
  <c r="C150" i="3"/>
  <c r="C154" i="3"/>
  <c r="G157" i="3"/>
  <c r="J160" i="3"/>
  <c r="G161" i="3"/>
  <c r="E199" i="3"/>
  <c r="E232" i="3"/>
  <c r="E256" i="3"/>
  <c r="E65" i="22"/>
  <c r="E68" i="22"/>
  <c r="A55" i="20"/>
  <c r="A57" i="20" s="1"/>
  <c r="F97" i="22"/>
  <c r="E11" i="22" s="1"/>
  <c r="A78" i="3"/>
  <c r="C33" i="5"/>
  <c r="G9" i="17"/>
  <c r="G141" i="3"/>
  <c r="D34" i="5"/>
  <c r="D36" i="5" s="1"/>
  <c r="C95" i="23"/>
  <c r="J94" i="3"/>
  <c r="C31" i="5" l="1"/>
  <c r="C34" i="5" s="1"/>
  <c r="C36" i="5" s="1"/>
  <c r="D13" i="22"/>
  <c r="D16" i="22" s="1"/>
  <c r="D17" i="23" s="1"/>
  <c r="C68" i="22"/>
  <c r="C37" i="22"/>
  <c r="C69" i="23"/>
  <c r="D13" i="23"/>
  <c r="D16" i="23" s="1"/>
  <c r="D18" i="23" s="1"/>
  <c r="C38" i="23"/>
  <c r="F239" i="3"/>
  <c r="F238" i="3"/>
  <c r="Q36" i="38"/>
  <c r="J203" i="3"/>
  <c r="J208" i="3" s="1"/>
  <c r="H18" i="3" s="1"/>
  <c r="J18" i="3" s="1"/>
  <c r="J214" i="3"/>
  <c r="J215" i="3" s="1"/>
  <c r="D18" i="3"/>
  <c r="A25" i="5"/>
  <c r="A26" i="5" s="1"/>
  <c r="A27" i="5" s="1"/>
  <c r="A28" i="5" s="1"/>
  <c r="A29" i="5" s="1"/>
  <c r="A59" i="20"/>
  <c r="R21" i="36"/>
  <c r="E105" i="3" s="1"/>
  <c r="P42" i="36"/>
  <c r="A19" i="20"/>
  <c r="A21" i="20" s="1"/>
  <c r="A23" i="20" s="1"/>
  <c r="A25" i="20" s="1"/>
  <c r="A27" i="20" s="1"/>
  <c r="A29" i="20" s="1"/>
  <c r="I54" i="17"/>
  <c r="D21" i="17"/>
  <c r="D22" i="17" s="1"/>
  <c r="D23" i="17" s="1"/>
  <c r="D24" i="17" s="1"/>
  <c r="D25" i="17" s="1"/>
  <c r="D26" i="17" s="1"/>
  <c r="D27" i="17" s="1"/>
  <c r="D28" i="17" s="1"/>
  <c r="D29" i="17" s="1"/>
  <c r="D30" i="17" s="1"/>
  <c r="D31" i="17" s="1"/>
  <c r="D32" i="17" s="1"/>
  <c r="Q34" i="38"/>
  <c r="D25" i="38"/>
  <c r="P25" i="38"/>
  <c r="O25" i="38"/>
  <c r="N25" i="38"/>
  <c r="L25" i="38"/>
  <c r="A12" i="38"/>
  <c r="A13" i="38" s="1"/>
  <c r="A14" i="38" s="1"/>
  <c r="A15" i="38" s="1"/>
  <c r="A17" i="38" s="1"/>
  <c r="A19" i="38" s="1"/>
  <c r="C15" i="38"/>
  <c r="M25" i="38"/>
  <c r="K25" i="38"/>
  <c r="E25" i="38"/>
  <c r="Q20" i="38"/>
  <c r="F174" i="9"/>
  <c r="A9" i="9"/>
  <c r="A10" i="9" s="1"/>
  <c r="A11" i="9" s="1"/>
  <c r="A12" i="9" s="1"/>
  <c r="A13" i="9" s="1"/>
  <c r="A14" i="9" s="1"/>
  <c r="A15" i="9" s="1"/>
  <c r="A16" i="9" s="1"/>
  <c r="A17" i="9" s="1"/>
  <c r="A18" i="9" s="1"/>
  <c r="A19" i="9" s="1"/>
  <c r="A20" i="9" s="1"/>
  <c r="A21" i="9" s="1"/>
  <c r="D21" i="9"/>
  <c r="E89" i="3"/>
  <c r="N42" i="36"/>
  <c r="E152" i="3"/>
  <c r="E147" i="3"/>
  <c r="E94" i="3"/>
  <c r="A79" i="3"/>
  <c r="E93" i="3"/>
  <c r="E95" i="3"/>
  <c r="J25" i="38"/>
  <c r="E13" i="23"/>
  <c r="E82" i="3"/>
  <c r="J221" i="3" s="1"/>
  <c r="J222" i="3" s="1"/>
  <c r="E92" i="3"/>
  <c r="F22" i="17"/>
  <c r="H21" i="17"/>
  <c r="C15" i="5"/>
  <c r="H238" i="3" l="1"/>
  <c r="F240" i="3"/>
  <c r="F241" i="3" s="1"/>
  <c r="G239" i="3" s="1"/>
  <c r="Q23" i="38"/>
  <c r="Q25" i="38" s="1"/>
  <c r="H105" i="3"/>
  <c r="J105" i="3" s="1"/>
  <c r="L133" i="29"/>
  <c r="M133" i="29" s="1"/>
  <c r="H79" i="3"/>
  <c r="J79" i="3" s="1"/>
  <c r="J93" i="3" s="1"/>
  <c r="H141" i="3"/>
  <c r="H146" i="3"/>
  <c r="J146" i="3" s="1"/>
  <c r="A30" i="5"/>
  <c r="A31" i="5" s="1"/>
  <c r="A32" i="5" s="1"/>
  <c r="A33" i="5" s="1"/>
  <c r="A34" i="5" s="1"/>
  <c r="A35" i="5" s="1"/>
  <c r="A36" i="5" s="1"/>
  <c r="A61" i="20"/>
  <c r="A63" i="20" s="1"/>
  <c r="A65" i="20" s="1"/>
  <c r="A67" i="20" s="1"/>
  <c r="A69" i="20" s="1"/>
  <c r="A73" i="20" s="1"/>
  <c r="G110" i="29"/>
  <c r="J204" i="3" s="1"/>
  <c r="J206" i="3" s="1"/>
  <c r="J211" i="3" s="1"/>
  <c r="A31" i="20"/>
  <c r="D238" i="3"/>
  <c r="D79" i="3"/>
  <c r="A23" i="9"/>
  <c r="A24" i="9" s="1"/>
  <c r="D214" i="3"/>
  <c r="D203" i="3"/>
  <c r="A80" i="3"/>
  <c r="E169" i="3"/>
  <c r="E172" i="3" s="1"/>
  <c r="K21" i="17"/>
  <c r="F23" i="17"/>
  <c r="H22" i="17"/>
  <c r="K22" i="17" s="1"/>
  <c r="E96" i="3"/>
  <c r="G240" i="3" l="1"/>
  <c r="J240" i="3" s="1"/>
  <c r="G238" i="3"/>
  <c r="J238" i="3" s="1"/>
  <c r="A35" i="20"/>
  <c r="A37" i="20" s="1"/>
  <c r="A33" i="20"/>
  <c r="D239" i="3"/>
  <c r="A25" i="9"/>
  <c r="A26" i="9" s="1"/>
  <c r="A27" i="9" s="1"/>
  <c r="A28" i="9" s="1"/>
  <c r="A29" i="9" s="1"/>
  <c r="A30" i="9" s="1"/>
  <c r="A31" i="9" s="1"/>
  <c r="A32" i="9" s="1"/>
  <c r="A33" i="9" s="1"/>
  <c r="A34" i="9" s="1"/>
  <c r="A35" i="9" s="1"/>
  <c r="A36" i="9" s="1"/>
  <c r="A37" i="9" s="1"/>
  <c r="A81" i="3"/>
  <c r="A82" i="3" s="1"/>
  <c r="E108" i="3"/>
  <c r="F24" i="17"/>
  <c r="H23" i="17"/>
  <c r="J239" i="3"/>
  <c r="J241" i="3" l="1"/>
  <c r="E166" i="3" s="1"/>
  <c r="G241" i="3"/>
  <c r="A20" i="38"/>
  <c r="A21" i="38" s="1"/>
  <c r="A22" i="38" s="1"/>
  <c r="A23" i="38" s="1"/>
  <c r="A25" i="38" s="1"/>
  <c r="A28" i="38" s="1"/>
  <c r="A39" i="9"/>
  <c r="A40" i="9" s="1"/>
  <c r="D80" i="3"/>
  <c r="D37" i="9"/>
  <c r="A85" i="3"/>
  <c r="D92" i="3" s="1"/>
  <c r="D221" i="3"/>
  <c r="D82" i="3"/>
  <c r="K23" i="17"/>
  <c r="F25" i="17"/>
  <c r="H24" i="17"/>
  <c r="K24" i="17" s="1"/>
  <c r="C23" i="38" l="1"/>
  <c r="D240" i="3"/>
  <c r="C25" i="38"/>
  <c r="A29" i="38"/>
  <c r="A30" i="38" s="1"/>
  <c r="A31" i="38" s="1"/>
  <c r="A32" i="38" s="1"/>
  <c r="A33" i="38" s="1"/>
  <c r="A34" i="38" s="1"/>
  <c r="A41" i="9"/>
  <c r="A42" i="9" s="1"/>
  <c r="A43" i="9" s="1"/>
  <c r="A44" i="9" s="1"/>
  <c r="A45" i="9" s="1"/>
  <c r="A46" i="9" s="1"/>
  <c r="A47" i="9" s="1"/>
  <c r="A48" i="9" s="1"/>
  <c r="A49" i="9" s="1"/>
  <c r="A50" i="9" s="1"/>
  <c r="A51" i="9" s="1"/>
  <c r="A52" i="9" s="1"/>
  <c r="A53" i="9" s="1"/>
  <c r="A86" i="3"/>
  <c r="D93" i="3" s="1"/>
  <c r="F26" i="17"/>
  <c r="H25" i="17"/>
  <c r="K25" i="17" s="1"/>
  <c r="C36" i="38" l="1"/>
  <c r="A36" i="38"/>
  <c r="A39" i="38" s="1"/>
  <c r="C34" i="38"/>
  <c r="A55" i="9"/>
  <c r="A56" i="9" s="1"/>
  <c r="D53" i="9"/>
  <c r="A87" i="3"/>
  <c r="D94" i="3" s="1"/>
  <c r="F27" i="17"/>
  <c r="H26" i="17"/>
  <c r="K26" i="17" s="1"/>
  <c r="C41" i="38" l="1"/>
  <c r="A41" i="38"/>
  <c r="A57" i="9"/>
  <c r="A58" i="9" s="1"/>
  <c r="A59" i="9" s="1"/>
  <c r="A60" i="9" s="1"/>
  <c r="A61" i="9" s="1"/>
  <c r="A62" i="9" s="1"/>
  <c r="A63" i="9" s="1"/>
  <c r="A64" i="9" s="1"/>
  <c r="A65" i="9" s="1"/>
  <c r="A66" i="9" s="1"/>
  <c r="A67" i="9" s="1"/>
  <c r="A68" i="9" s="1"/>
  <c r="A69" i="9" s="1"/>
  <c r="A88" i="3"/>
  <c r="D95" i="3" s="1"/>
  <c r="H27" i="17"/>
  <c r="F28" i="17"/>
  <c r="A71" i="9" l="1"/>
  <c r="A72" i="9" s="1"/>
  <c r="D81" i="3"/>
  <c r="D69" i="9"/>
  <c r="A89" i="3"/>
  <c r="A92" i="3" s="1"/>
  <c r="A93" i="3" s="1"/>
  <c r="D89" i="3"/>
  <c r="K27" i="17"/>
  <c r="F29" i="17"/>
  <c r="H28" i="17"/>
  <c r="K28" i="17" s="1"/>
  <c r="A73" i="9" l="1"/>
  <c r="A74" i="9" s="1"/>
  <c r="A75" i="9" s="1"/>
  <c r="A76" i="9" s="1"/>
  <c r="A77" i="9" s="1"/>
  <c r="A78" i="9" s="1"/>
  <c r="A79" i="9" s="1"/>
  <c r="A80" i="9" s="1"/>
  <c r="A81" i="9" s="1"/>
  <c r="A82" i="9" s="1"/>
  <c r="A83" i="9" s="1"/>
  <c r="A84" i="9" s="1"/>
  <c r="A85" i="9" s="1"/>
  <c r="A94" i="3"/>
  <c r="A95" i="3" s="1"/>
  <c r="D96" i="3" s="1"/>
  <c r="H29" i="17"/>
  <c r="K29" i="17" s="1"/>
  <c r="F30" i="17"/>
  <c r="D78" i="3" l="1"/>
  <c r="A87" i="9"/>
  <c r="A93" i="9" s="1"/>
  <c r="A94" i="9" s="1"/>
  <c r="D87" i="9"/>
  <c r="D85" i="9"/>
  <c r="F31" i="17"/>
  <c r="H30" i="17"/>
  <c r="K30" i="17" s="1"/>
  <c r="A96" i="3"/>
  <c r="A99" i="3" s="1"/>
  <c r="A95" i="9" l="1"/>
  <c r="A96" i="9" s="1"/>
  <c r="A97" i="9" s="1"/>
  <c r="A98" i="9" s="1"/>
  <c r="A99" i="9" s="1"/>
  <c r="A100" i="9" s="1"/>
  <c r="A101" i="9" s="1"/>
  <c r="A102" i="9" s="1"/>
  <c r="A103" i="9" s="1"/>
  <c r="A104" i="9" s="1"/>
  <c r="A105" i="9" s="1"/>
  <c r="A106" i="9" s="1"/>
  <c r="A107" i="9" s="1"/>
  <c r="D86" i="3" s="1"/>
  <c r="A100" i="3"/>
  <c r="A101" i="3" s="1"/>
  <c r="A102" i="3" s="1"/>
  <c r="A103" i="3" s="1"/>
  <c r="H31" i="17"/>
  <c r="K31" i="17" s="1"/>
  <c r="F32" i="17"/>
  <c r="A109" i="9" l="1"/>
  <c r="A110" i="9" s="1"/>
  <c r="D107" i="9"/>
  <c r="H20" i="23"/>
  <c r="F36" i="17"/>
  <c r="F39" i="17"/>
  <c r="H32" i="17"/>
  <c r="A111" i="9" l="1"/>
  <c r="A112" i="9" s="1"/>
  <c r="A113" i="9" s="1"/>
  <c r="A114" i="9" s="1"/>
  <c r="A115" i="9" s="1"/>
  <c r="A116" i="9" s="1"/>
  <c r="A117" i="9" s="1"/>
  <c r="A118" i="9" s="1"/>
  <c r="A119" i="9" s="1"/>
  <c r="A120" i="9" s="1"/>
  <c r="A121" i="9" s="1"/>
  <c r="A122" i="9" s="1"/>
  <c r="A123" i="9" s="1"/>
  <c r="F40" i="17"/>
  <c r="K32" i="17"/>
  <c r="K33" i="17" s="1"/>
  <c r="D36" i="17" s="1"/>
  <c r="H33" i="17"/>
  <c r="D87" i="3" l="1"/>
  <c r="A125" i="9"/>
  <c r="A126" i="9" s="1"/>
  <c r="D123" i="9"/>
  <c r="F41" i="17"/>
  <c r="H36" i="17"/>
  <c r="K36" i="17" s="1"/>
  <c r="I39" i="17" s="1"/>
  <c r="A127" i="9" l="1"/>
  <c r="A128" i="9" s="1"/>
  <c r="A129" i="9" s="1"/>
  <c r="A130" i="9" s="1"/>
  <c r="A131" i="9" s="1"/>
  <c r="A132" i="9" s="1"/>
  <c r="A133" i="9" s="1"/>
  <c r="A134" i="9" s="1"/>
  <c r="A135" i="9" s="1"/>
  <c r="A136" i="9" s="1"/>
  <c r="A137" i="9" s="1"/>
  <c r="A138" i="9" s="1"/>
  <c r="A139" i="9" s="1"/>
  <c r="D39" i="17"/>
  <c r="F42" i="17"/>
  <c r="A141" i="9" l="1"/>
  <c r="A142" i="9" s="1"/>
  <c r="D139" i="9"/>
  <c r="F43" i="17"/>
  <c r="A105" i="3"/>
  <c r="A108" i="3" s="1"/>
  <c r="I40" i="17"/>
  <c r="I41" i="17" s="1"/>
  <c r="I42" i="17" s="1"/>
  <c r="I43" i="17" s="1"/>
  <c r="I44" i="17" s="1"/>
  <c r="I45" i="17" s="1"/>
  <c r="I46" i="17" s="1"/>
  <c r="I47" i="17" s="1"/>
  <c r="I48" i="17" s="1"/>
  <c r="I49" i="17" s="1"/>
  <c r="I50" i="17" s="1"/>
  <c r="K39" i="17"/>
  <c r="D40" i="17" s="1"/>
  <c r="H39" i="17"/>
  <c r="A143" i="9" l="1"/>
  <c r="A144" i="9" s="1"/>
  <c r="A145" i="9" s="1"/>
  <c r="A146" i="9" s="1"/>
  <c r="A147" i="9" s="1"/>
  <c r="A148" i="9" s="1"/>
  <c r="A149" i="9" s="1"/>
  <c r="A150" i="9" s="1"/>
  <c r="A151" i="9" s="1"/>
  <c r="A152" i="9" s="1"/>
  <c r="A153" i="9" s="1"/>
  <c r="A154" i="9" s="1"/>
  <c r="A155" i="9" s="1"/>
  <c r="A109" i="3"/>
  <c r="A110" i="3" s="1"/>
  <c r="A111" i="3" s="1"/>
  <c r="D113" i="3" s="1"/>
  <c r="K40" i="17"/>
  <c r="D41" i="17" s="1"/>
  <c r="H40" i="17"/>
  <c r="I53" i="17"/>
  <c r="F44" i="17"/>
  <c r="A157" i="9" l="1"/>
  <c r="A158" i="9" s="1"/>
  <c r="D88" i="3"/>
  <c r="D155" i="9"/>
  <c r="D111" i="3"/>
  <c r="A113" i="3"/>
  <c r="F45" i="17"/>
  <c r="E22" i="3"/>
  <c r="J22" i="3" s="1"/>
  <c r="I55" i="17"/>
  <c r="K41" i="17"/>
  <c r="D42" i="17" s="1"/>
  <c r="H41" i="17"/>
  <c r="A159" i="9" l="1"/>
  <c r="A160" i="9" s="1"/>
  <c r="A161" i="9" s="1"/>
  <c r="A162" i="9" s="1"/>
  <c r="A163" i="9" s="1"/>
  <c r="A164" i="9" s="1"/>
  <c r="A165" i="9" s="1"/>
  <c r="A166" i="9" s="1"/>
  <c r="A167" i="9" s="1"/>
  <c r="A168" i="9" s="1"/>
  <c r="A169" i="9" s="1"/>
  <c r="A170" i="9" s="1"/>
  <c r="A171" i="9" s="1"/>
  <c r="A140" i="3"/>
  <c r="K42" i="17"/>
  <c r="D43" i="17" s="1"/>
  <c r="H42" i="17"/>
  <c r="F46" i="17"/>
  <c r="D85" i="3" l="1"/>
  <c r="A174" i="9"/>
  <c r="D174" i="9"/>
  <c r="D171" i="9"/>
  <c r="A141" i="3"/>
  <c r="D142" i="3" s="1"/>
  <c r="F47" i="17"/>
  <c r="K43" i="17"/>
  <c r="D44" i="17" s="1"/>
  <c r="H43" i="17"/>
  <c r="A12" i="29" l="1"/>
  <c r="D170" i="3"/>
  <c r="D101" i="3"/>
  <c r="A142" i="3"/>
  <c r="K44" i="17"/>
  <c r="D45" i="17" s="1"/>
  <c r="H44" i="17"/>
  <c r="F48" i="17"/>
  <c r="A13" i="29" l="1"/>
  <c r="A14" i="29" s="1"/>
  <c r="A15" i="29" s="1"/>
  <c r="A16" i="29" s="1"/>
  <c r="A17" i="29" s="1"/>
  <c r="A18" i="29" s="1"/>
  <c r="A19" i="29" s="1"/>
  <c r="A20" i="29" s="1"/>
  <c r="A21" i="29" s="1"/>
  <c r="A22" i="29" s="1"/>
  <c r="A23" i="29" s="1"/>
  <c r="A24" i="29" s="1"/>
  <c r="A25" i="29" s="1"/>
  <c r="A143" i="3"/>
  <c r="A144" i="3" s="1"/>
  <c r="F49" i="17"/>
  <c r="K45" i="17"/>
  <c r="D46" i="17" s="1"/>
  <c r="H45" i="17"/>
  <c r="D25" i="29" l="1"/>
  <c r="A35" i="29"/>
  <c r="A36" i="29" s="1"/>
  <c r="A37" i="29" s="1"/>
  <c r="A38" i="29" s="1"/>
  <c r="A39" i="29" s="1"/>
  <c r="A40" i="29" s="1"/>
  <c r="A41" i="29" s="1"/>
  <c r="D110" i="3"/>
  <c r="A145" i="3"/>
  <c r="A146" i="3" s="1"/>
  <c r="A147" i="3" s="1"/>
  <c r="K46" i="17"/>
  <c r="D47" i="17" s="1"/>
  <c r="H46" i="17"/>
  <c r="F50" i="17"/>
  <c r="D102" i="3" l="1"/>
  <c r="A50" i="29"/>
  <c r="A51" i="29" s="1"/>
  <c r="A52" i="29" s="1"/>
  <c r="A53" i="29" s="1"/>
  <c r="A54" i="29" s="1"/>
  <c r="A55" i="29" s="1"/>
  <c r="A56" i="29" s="1"/>
  <c r="A57" i="29" s="1"/>
  <c r="A58" i="29" s="1"/>
  <c r="A59" i="29" s="1"/>
  <c r="A60" i="29" s="1"/>
  <c r="A61" i="29" s="1"/>
  <c r="A62" i="29" s="1"/>
  <c r="A63" i="29" s="1"/>
  <c r="A71" i="29" s="1"/>
  <c r="A81" i="29" s="1"/>
  <c r="D147" i="3"/>
  <c r="A150" i="3"/>
  <c r="D108" i="3"/>
  <c r="A151" i="3"/>
  <c r="A152" i="3" s="1"/>
  <c r="K47" i="17"/>
  <c r="D48" i="17" s="1"/>
  <c r="H47" i="17"/>
  <c r="A91" i="29" l="1"/>
  <c r="A98" i="29" s="1"/>
  <c r="D146" i="3"/>
  <c r="D152" i="3"/>
  <c r="A155" i="3"/>
  <c r="A156" i="3" s="1"/>
  <c r="K48" i="17"/>
  <c r="D49" i="17" s="1"/>
  <c r="H48" i="17"/>
  <c r="A110" i="29" l="1"/>
  <c r="A157" i="3"/>
  <c r="K49" i="17"/>
  <c r="D50" i="17" s="1"/>
  <c r="H49" i="17"/>
  <c r="A120" i="29" l="1"/>
  <c r="A121" i="29" s="1"/>
  <c r="A122" i="29" s="1"/>
  <c r="A123" i="29" s="1"/>
  <c r="A124" i="29" s="1"/>
  <c r="A125" i="29" s="1"/>
  <c r="A126" i="29" s="1"/>
  <c r="A127" i="29" s="1"/>
  <c r="A128" i="29" s="1"/>
  <c r="A129" i="29" s="1"/>
  <c r="A130" i="29" s="1"/>
  <c r="A131" i="29" s="1"/>
  <c r="A132" i="29" s="1"/>
  <c r="A133" i="29" s="1"/>
  <c r="D109" i="3" s="1"/>
  <c r="D205" i="3"/>
  <c r="D204" i="3"/>
  <c r="A159" i="3"/>
  <c r="A160" i="3" s="1"/>
  <c r="A161" i="3" s="1"/>
  <c r="K50" i="17"/>
  <c r="H50" i="17"/>
  <c r="H51" i="17" s="1"/>
  <c r="A162" i="3" l="1"/>
  <c r="A165" i="3" s="1"/>
  <c r="D162" i="3"/>
  <c r="C169" i="3" l="1"/>
  <c r="A166" i="3"/>
  <c r="A167" i="3" s="1"/>
  <c r="A168" i="3" s="1"/>
  <c r="A169" i="3" s="1"/>
  <c r="A170" i="3" l="1"/>
  <c r="A171" i="3" s="1"/>
  <c r="A172" i="3" l="1"/>
  <c r="A173" i="3" s="1"/>
  <c r="D172" i="3"/>
  <c r="A176" i="3" l="1"/>
  <c r="D173" i="3"/>
  <c r="A178" i="3" l="1"/>
  <c r="D15" i="3" s="1"/>
  <c r="D171" i="3"/>
  <c r="A202" i="3"/>
  <c r="A203" i="3" s="1"/>
  <c r="A204" i="3" l="1"/>
  <c r="A205" i="3" s="1"/>
  <c r="A206" i="3" s="1"/>
  <c r="D218" i="3" l="1"/>
  <c r="D208" i="3"/>
  <c r="D211" i="3"/>
  <c r="D206" i="3"/>
  <c r="A208" i="3"/>
  <c r="A210" i="3" s="1"/>
  <c r="A211" i="3" s="1"/>
  <c r="A212" i="3" l="1"/>
  <c r="A213" i="3" l="1"/>
  <c r="D219" i="3"/>
  <c r="D213" i="3"/>
  <c r="A214" i="3"/>
  <c r="A215" i="3" s="1"/>
  <c r="A218" i="3" s="1"/>
  <c r="D215" i="3" l="1"/>
  <c r="A219" i="3"/>
  <c r="A220" i="3" s="1"/>
  <c r="A221" i="3" l="1"/>
  <c r="A222" i="3" s="1"/>
  <c r="A228" i="3" s="1"/>
  <c r="D220" i="3"/>
  <c r="A229" i="3" l="1"/>
  <c r="A230" i="3" s="1"/>
  <c r="A231" i="3" s="1"/>
  <c r="A232" i="3" s="1"/>
  <c r="A238" i="3" s="1"/>
  <c r="D222" i="3"/>
  <c r="A239" i="3" l="1"/>
  <c r="A240" i="3" s="1"/>
  <c r="A241" i="3" s="1"/>
  <c r="D232" i="3"/>
  <c r="C167" i="3" l="1"/>
  <c r="D176" i="3"/>
  <c r="D241" i="3"/>
  <c r="J232" i="3"/>
  <c r="H151" i="3" l="1"/>
  <c r="J151" i="3" s="1"/>
  <c r="J152" i="3" s="1"/>
  <c r="I38" i="42"/>
  <c r="K38" i="42" s="1"/>
  <c r="P21" i="41"/>
  <c r="Q21" i="41" s="1"/>
  <c r="R21" i="41" s="1"/>
  <c r="P16" i="41"/>
  <c r="Q16" i="41" s="1"/>
  <c r="R16" i="41" s="1"/>
  <c r="I39" i="42"/>
  <c r="K39" i="42" s="1"/>
  <c r="P22" i="41"/>
  <c r="Q22" i="41" s="1"/>
  <c r="R22" i="41" s="1"/>
  <c r="I40" i="42"/>
  <c r="K40" i="42" s="1"/>
  <c r="P23" i="41"/>
  <c r="Q23" i="41" s="1"/>
  <c r="R23" i="41" s="1"/>
  <c r="I35" i="42"/>
  <c r="K35" i="42" s="1"/>
  <c r="I37" i="42"/>
  <c r="K37" i="42" s="1"/>
  <c r="I41" i="42"/>
  <c r="K41" i="42" s="1"/>
  <c r="P12" i="41"/>
  <c r="I34" i="42"/>
  <c r="K34" i="42" s="1"/>
  <c r="P18" i="41"/>
  <c r="Q18" i="41" s="1"/>
  <c r="R18" i="41" s="1"/>
  <c r="I42" i="42"/>
  <c r="K42" i="42" s="1"/>
  <c r="O12" i="41"/>
  <c r="I36" i="42"/>
  <c r="K36" i="42" s="1"/>
  <c r="I43" i="42"/>
  <c r="K43" i="42" s="1"/>
  <c r="I44" i="42"/>
  <c r="K44" i="42" s="1"/>
  <c r="P17" i="41"/>
  <c r="Q17" i="41" s="1"/>
  <c r="R17" i="41" s="1"/>
  <c r="I33" i="42"/>
  <c r="K33" i="42" s="1"/>
  <c r="P15" i="41"/>
  <c r="Q15" i="41" s="1"/>
  <c r="R15" i="41" s="1"/>
  <c r="P20" i="41"/>
  <c r="Q20" i="41" s="1"/>
  <c r="R20" i="41" s="1"/>
  <c r="P13" i="41"/>
  <c r="Q13" i="41" s="1"/>
  <c r="R13" i="41" s="1"/>
  <c r="P14" i="41"/>
  <c r="Q14" i="41" s="1"/>
  <c r="R14" i="41" s="1"/>
  <c r="P19" i="41"/>
  <c r="Q19" i="41" s="1"/>
  <c r="R19" i="41" s="1"/>
  <c r="H81" i="3"/>
  <c r="J81" i="3" s="1"/>
  <c r="J82" i="3" s="1"/>
  <c r="H35" i="29"/>
  <c r="I35" i="29" s="1"/>
  <c r="I41" i="29" s="1"/>
  <c r="E102" i="3" s="1"/>
  <c r="J102" i="3" s="1"/>
  <c r="H157" i="3"/>
  <c r="J157" i="3" s="1"/>
  <c r="H144" i="3"/>
  <c r="J144" i="3" s="1"/>
  <c r="H156" i="3"/>
  <c r="J156" i="3" s="1"/>
  <c r="H145" i="3"/>
  <c r="J145" i="3" s="1"/>
  <c r="H88" i="3"/>
  <c r="J88" i="3" s="1"/>
  <c r="J89" i="3" s="1"/>
  <c r="H143" i="3"/>
  <c r="J143" i="3" s="1"/>
  <c r="F14" i="22"/>
  <c r="F16" i="22" s="1"/>
  <c r="F17" i="23" s="1"/>
  <c r="F14" i="23"/>
  <c r="F16" i="23" s="1"/>
  <c r="O24" i="41" l="1"/>
  <c r="Q12" i="41"/>
  <c r="R12" i="41" s="1"/>
  <c r="R24" i="41" s="1"/>
  <c r="F18" i="23"/>
  <c r="J95" i="3"/>
  <c r="J96" i="3" s="1"/>
  <c r="H96" i="3" s="1"/>
  <c r="H82" i="3"/>
  <c r="F42" i="42" l="1"/>
  <c r="G42" i="42" s="1"/>
  <c r="M42" i="42" s="1"/>
  <c r="K24" i="42" s="1"/>
  <c r="F43" i="42"/>
  <c r="G43" i="42" s="1"/>
  <c r="M43" i="42" s="1"/>
  <c r="K25" i="42" s="1"/>
  <c r="F44" i="42"/>
  <c r="G44" i="42" s="1"/>
  <c r="M44" i="42" s="1"/>
  <c r="K26" i="42" s="1"/>
  <c r="L21" i="41"/>
  <c r="M21" i="41" s="1"/>
  <c r="N21" i="41" s="1"/>
  <c r="S21" i="41" s="1"/>
  <c r="L12" i="41"/>
  <c r="M12" i="41" s="1"/>
  <c r="N12" i="41" s="1"/>
  <c r="F33" i="42"/>
  <c r="G33" i="42" s="1"/>
  <c r="M33" i="42" s="1"/>
  <c r="K15" i="42" s="1"/>
  <c r="L13" i="41"/>
  <c r="M13" i="41" s="1"/>
  <c r="N13" i="41" s="1"/>
  <c r="S13" i="41" s="1"/>
  <c r="L20" i="41"/>
  <c r="M20" i="41" s="1"/>
  <c r="N20" i="41" s="1"/>
  <c r="S20" i="41" s="1"/>
  <c r="L14" i="41"/>
  <c r="M14" i="41" s="1"/>
  <c r="N14" i="41" s="1"/>
  <c r="S14" i="41" s="1"/>
  <c r="L15" i="41"/>
  <c r="M15" i="41" s="1"/>
  <c r="N15" i="41" s="1"/>
  <c r="S15" i="41" s="1"/>
  <c r="F37" i="42"/>
  <c r="G37" i="42" s="1"/>
  <c r="M37" i="42" s="1"/>
  <c r="K19" i="42" s="1"/>
  <c r="L23" i="41"/>
  <c r="M23" i="41" s="1"/>
  <c r="N23" i="41" s="1"/>
  <c r="S23" i="41" s="1"/>
  <c r="L16" i="41"/>
  <c r="M16" i="41" s="1"/>
  <c r="N16" i="41" s="1"/>
  <c r="S16" i="41" s="1"/>
  <c r="L17" i="41"/>
  <c r="M17" i="41" s="1"/>
  <c r="N17" i="41" s="1"/>
  <c r="S17" i="41" s="1"/>
  <c r="L19" i="41"/>
  <c r="M19" i="41" s="1"/>
  <c r="N19" i="41" s="1"/>
  <c r="S19" i="41" s="1"/>
  <c r="F39" i="42"/>
  <c r="G39" i="42" s="1"/>
  <c r="M39" i="42" s="1"/>
  <c r="K21" i="42" s="1"/>
  <c r="F34" i="42"/>
  <c r="G34" i="42" s="1"/>
  <c r="M34" i="42" s="1"/>
  <c r="K16" i="42" s="1"/>
  <c r="L18" i="41"/>
  <c r="M18" i="41" s="1"/>
  <c r="N18" i="41" s="1"/>
  <c r="S18" i="41" s="1"/>
  <c r="F35" i="42"/>
  <c r="G35" i="42" s="1"/>
  <c r="M35" i="42" s="1"/>
  <c r="K17" i="42" s="1"/>
  <c r="F36" i="42"/>
  <c r="G36" i="42" s="1"/>
  <c r="M36" i="42" s="1"/>
  <c r="K18" i="42" s="1"/>
  <c r="F38" i="42"/>
  <c r="G38" i="42" s="1"/>
  <c r="M38" i="42" s="1"/>
  <c r="K20" i="42" s="1"/>
  <c r="L22" i="41"/>
  <c r="M22" i="41" s="1"/>
  <c r="N22" i="41" s="1"/>
  <c r="S22" i="41" s="1"/>
  <c r="F40" i="42"/>
  <c r="G40" i="42" s="1"/>
  <c r="M40" i="42" s="1"/>
  <c r="K22" i="42" s="1"/>
  <c r="F41" i="42"/>
  <c r="G41" i="42" s="1"/>
  <c r="M41" i="42" s="1"/>
  <c r="K23" i="42" s="1"/>
  <c r="E15" i="23"/>
  <c r="E16" i="23" s="1"/>
  <c r="G16" i="23" s="1"/>
  <c r="E15" i="22"/>
  <c r="E16" i="22" s="1"/>
  <c r="H110" i="3"/>
  <c r="J110" i="3" s="1"/>
  <c r="I133" i="29"/>
  <c r="J133" i="29" s="1"/>
  <c r="N133" i="29" s="1"/>
  <c r="J109" i="3" s="1"/>
  <c r="H101" i="3"/>
  <c r="J101" i="3" s="1"/>
  <c r="H172" i="3"/>
  <c r="J172" i="3" s="1"/>
  <c r="J218" i="3"/>
  <c r="J220" i="3" s="1"/>
  <c r="J213" i="3"/>
  <c r="L19" i="42" l="1"/>
  <c r="O19" i="42"/>
  <c r="N19" i="42"/>
  <c r="M19" i="42"/>
  <c r="N24" i="41"/>
  <c r="S24" i="41" s="1"/>
  <c r="S12" i="41"/>
  <c r="L20" i="42"/>
  <c r="O20" i="42"/>
  <c r="N20" i="42"/>
  <c r="M20" i="42"/>
  <c r="L17" i="42"/>
  <c r="N17" i="42" s="1"/>
  <c r="O17" i="42"/>
  <c r="O26" i="42"/>
  <c r="L26" i="42"/>
  <c r="M26" i="42" s="1"/>
  <c r="O22" i="42"/>
  <c r="L22" i="42"/>
  <c r="N22" i="42" s="1"/>
  <c r="L25" i="42"/>
  <c r="M25" i="42" s="1"/>
  <c r="N25" i="42"/>
  <c r="O25" i="42"/>
  <c r="L21" i="42"/>
  <c r="N21" i="42" s="1"/>
  <c r="O21" i="42"/>
  <c r="L23" i="42"/>
  <c r="N23" i="42" s="1"/>
  <c r="O23" i="42"/>
  <c r="L15" i="42"/>
  <c r="K27" i="42"/>
  <c r="O15" i="42"/>
  <c r="O18" i="42"/>
  <c r="L18" i="42"/>
  <c r="M18" i="42" s="1"/>
  <c r="N18" i="42"/>
  <c r="O16" i="42"/>
  <c r="L16" i="42"/>
  <c r="N16" i="42" s="1"/>
  <c r="O24" i="42"/>
  <c r="L24" i="42"/>
  <c r="M24" i="42" s="1"/>
  <c r="E17" i="23"/>
  <c r="G16" i="22"/>
  <c r="E111" i="3"/>
  <c r="H140" i="3"/>
  <c r="F229" i="3"/>
  <c r="H229" i="3" s="1"/>
  <c r="H232" i="3" s="1"/>
  <c r="H159" i="3"/>
  <c r="J159" i="3" s="1"/>
  <c r="H161" i="3"/>
  <c r="J161" i="3" s="1"/>
  <c r="M23" i="42" l="1"/>
  <c r="M16" i="42"/>
  <c r="M21" i="42"/>
  <c r="M22" i="42"/>
  <c r="M17" i="42"/>
  <c r="L27" i="42"/>
  <c r="N24" i="42"/>
  <c r="N15" i="42"/>
  <c r="M15" i="42"/>
  <c r="O27" i="42"/>
  <c r="N26" i="42"/>
  <c r="J162" i="3"/>
  <c r="E18" i="23"/>
  <c r="G17" i="23"/>
  <c r="G18" i="23" s="1"/>
  <c r="G20" i="23" s="1"/>
  <c r="E99" i="3" s="1"/>
  <c r="J140" i="3"/>
  <c r="J141" i="3"/>
  <c r="P15" i="42" l="1"/>
  <c r="P16" i="42" s="1"/>
  <c r="P17" i="42" s="1"/>
  <c r="P18" i="42" s="1"/>
  <c r="P19" i="42" s="1"/>
  <c r="P20" i="42" s="1"/>
  <c r="P21" i="42" s="1"/>
  <c r="P22" i="42" s="1"/>
  <c r="P23" i="42" s="1"/>
  <c r="P24" i="42" s="1"/>
  <c r="P25" i="42" s="1"/>
  <c r="P26" i="42" s="1"/>
  <c r="M27" i="42"/>
  <c r="N27" i="42"/>
  <c r="J99" i="3"/>
  <c r="J103" i="3" s="1"/>
  <c r="E103" i="3"/>
  <c r="E113" i="3" s="1"/>
  <c r="E176" i="3" s="1"/>
  <c r="E171" i="3" s="1"/>
  <c r="E173" i="3" s="1"/>
  <c r="E178" i="3" s="1"/>
  <c r="J142" i="3"/>
  <c r="J147" i="3" s="1"/>
  <c r="J108" i="3" l="1"/>
  <c r="J111" i="3" s="1"/>
  <c r="J113" i="3" s="1"/>
  <c r="J176" i="3" s="1"/>
  <c r="J171" i="3" s="1"/>
  <c r="J173" i="3" s="1"/>
  <c r="J178" i="3" s="1"/>
  <c r="J15" i="3" s="1"/>
  <c r="J20" i="3" s="1"/>
  <c r="J24" i="3" s="1"/>
</calcChain>
</file>

<file path=xl/sharedStrings.xml><?xml version="1.0" encoding="utf-8"?>
<sst xmlns="http://schemas.openxmlformats.org/spreadsheetml/2006/main" count="1483" uniqueCount="686">
  <si>
    <t>Account 456</t>
  </si>
  <si>
    <t>GENERAL PLANT</t>
  </si>
  <si>
    <t>INTANGIBLE PLANT</t>
  </si>
  <si>
    <t>Structures &amp; Improvements</t>
  </si>
  <si>
    <t>Transportation Equipment</t>
  </si>
  <si>
    <t>Stores Equipment</t>
  </si>
  <si>
    <t>Laboratory Equipment</t>
  </si>
  <si>
    <t>Power Operated Equipment</t>
  </si>
  <si>
    <t>Communication Equipment</t>
  </si>
  <si>
    <t>Miscellaneous Equipment</t>
  </si>
  <si>
    <t>Structures and Improvements</t>
  </si>
  <si>
    <t>Station Equipment</t>
  </si>
  <si>
    <t>Towers and Fixtures</t>
  </si>
  <si>
    <t>Poles and Fixtures</t>
  </si>
  <si>
    <t>Overhead Conductor and Devices</t>
  </si>
  <si>
    <t>Underground Conductor and Devices</t>
  </si>
  <si>
    <t>Account Number</t>
  </si>
  <si>
    <t>TRANSMISSION PLANT</t>
  </si>
  <si>
    <t>Rate (Annual)                      Percent</t>
  </si>
  <si>
    <t xml:space="preserve">For each Rate Year (including both Annual Projections and True-Up Adjustments) the statutory income tax rates utilized in the Formula Rate shall reflect the weighted average rates </t>
  </si>
  <si>
    <t xml:space="preserve">  actually in effect during the Rate Year.  For example, if the statutory tax rate is 10% from January 1 through June 30, and 5% from July 1 through December 31, such rates would be weighted </t>
  </si>
  <si>
    <t xml:space="preserve">Formula Rate - Non-Levelized </t>
  </si>
  <si>
    <t xml:space="preserve"> </t>
  </si>
  <si>
    <t xml:space="preserve"> Utilizing FERC Form 1 Data</t>
  </si>
  <si>
    <t>(1)</t>
  </si>
  <si>
    <t>(2)</t>
  </si>
  <si>
    <t>(3)</t>
  </si>
  <si>
    <t>(4)</t>
  </si>
  <si>
    <t>(5)</t>
  </si>
  <si>
    <t>Line</t>
  </si>
  <si>
    <t>Allocated</t>
  </si>
  <si>
    <t>No.</t>
  </si>
  <si>
    <t>Amount</t>
  </si>
  <si>
    <t>12 months</t>
  </si>
  <si>
    <t xml:space="preserve">REVENUE CREDITS </t>
  </si>
  <si>
    <t>Total</t>
  </si>
  <si>
    <t>Allocator</t>
  </si>
  <si>
    <t>TP</t>
  </si>
  <si>
    <t>Transmission</t>
  </si>
  <si>
    <t>Company Total</t>
  </si>
  <si>
    <t xml:space="preserve">                  Allocator</t>
  </si>
  <si>
    <t>(Col 3 times Col 4)</t>
  </si>
  <si>
    <t>RATE BASE:</t>
  </si>
  <si>
    <t xml:space="preserve">  Production</t>
  </si>
  <si>
    <t>NA</t>
  </si>
  <si>
    <t xml:space="preserve">  Transmission</t>
  </si>
  <si>
    <t xml:space="preserve">  Distribution</t>
  </si>
  <si>
    <t>W/S</t>
  </si>
  <si>
    <t>GP=</t>
  </si>
  <si>
    <t>NET PLANT IN SERVICE</t>
  </si>
  <si>
    <t>NP=</t>
  </si>
  <si>
    <t>NP</t>
  </si>
  <si>
    <t>267.8.h</t>
  </si>
  <si>
    <t xml:space="preserve">  CWC  </t>
  </si>
  <si>
    <t>111.57.c</t>
  </si>
  <si>
    <t>GP</t>
  </si>
  <si>
    <t>O&amp;M</t>
  </si>
  <si>
    <t xml:space="preserve">  Transmission </t>
  </si>
  <si>
    <t xml:space="preserve">  LABOR RELATED</t>
  </si>
  <si>
    <t xml:space="preserve">          Payroll</t>
  </si>
  <si>
    <t xml:space="preserve">          Highway and vehicle</t>
  </si>
  <si>
    <t xml:space="preserve">  PLANT RELATED</t>
  </si>
  <si>
    <t xml:space="preserve">         Property</t>
  </si>
  <si>
    <t xml:space="preserve">         Gross Receipts</t>
  </si>
  <si>
    <t xml:space="preserve">         Other</t>
  </si>
  <si>
    <t xml:space="preserve">     CIT=(T/1-T) * (1-(WCLTD/R)) =</t>
  </si>
  <si>
    <t xml:space="preserve">RETURN </t>
  </si>
  <si>
    <t xml:space="preserve">                SUPPORTING CALCULATIONS AND NOTES</t>
  </si>
  <si>
    <t>TP=</t>
  </si>
  <si>
    <t>Form 1 Reference</t>
  </si>
  <si>
    <t>$</t>
  </si>
  <si>
    <t>Allocation</t>
  </si>
  <si>
    <t>354.20.b</t>
  </si>
  <si>
    <t>W&amp;S Allocator</t>
  </si>
  <si>
    <t xml:space="preserve">  Other</t>
  </si>
  <si>
    <t>($ / Allocation)</t>
  </si>
  <si>
    <t>=</t>
  </si>
  <si>
    <t>%</t>
  </si>
  <si>
    <t>Weighted</t>
  </si>
  <si>
    <t>=WCLTD</t>
  </si>
  <si>
    <t>=R</t>
  </si>
  <si>
    <t>General Note:  References to pages in this formulary rate are indicated as:  (page#, line#, col.#)</t>
  </si>
  <si>
    <t xml:space="preserve">                           References to data from FERC Form 1 are indicated as:   #.y.x  (page, line, column)</t>
  </si>
  <si>
    <t>Note</t>
  </si>
  <si>
    <t>Letter</t>
  </si>
  <si>
    <t>A</t>
  </si>
  <si>
    <t>B</t>
  </si>
  <si>
    <t>C</t>
  </si>
  <si>
    <t>D</t>
  </si>
  <si>
    <t>E</t>
  </si>
  <si>
    <t>F</t>
  </si>
  <si>
    <t>G</t>
  </si>
  <si>
    <t>H</t>
  </si>
  <si>
    <t xml:space="preserve">  Prepayments are the electric related prepayments booked to Account No. 165 and reported on Pages 110-111 line 57 in the Form 1.</t>
  </si>
  <si>
    <t>I</t>
  </si>
  <si>
    <t>J</t>
  </si>
  <si>
    <t>Includes only FICA, unemployment, highway, property, gross receipts, and other assessments charged in the current year.</t>
  </si>
  <si>
    <t xml:space="preserve">   since they are recovered elsewhere.</t>
  </si>
  <si>
    <t>The currently effective income tax rate,  where FIT is the Federal income tax rate; SIT is the State income tax rate, and p =</t>
  </si>
  <si>
    <t xml:space="preserve">  "the percentage of federal income tax deductible for state income taxes".  If the utility is taxed in more than one state it must attach a</t>
  </si>
  <si>
    <t xml:space="preserve">         Inputs Required:</t>
  </si>
  <si>
    <t>FIT =</t>
  </si>
  <si>
    <t>SIT=</t>
  </si>
  <si>
    <t>p =</t>
  </si>
  <si>
    <t xml:space="preserve">  (percent of federal income tax deductible for state purposes)</t>
  </si>
  <si>
    <t>Removes dollar amount of transmission plant included in the development of OATT ancillary services rates and generation</t>
  </si>
  <si>
    <t xml:space="preserve">  General &amp; Intangible </t>
  </si>
  <si>
    <r>
      <t>Rate Formula Template</t>
    </r>
    <r>
      <rPr>
        <strike/>
        <sz val="12"/>
        <color indexed="10"/>
        <rFont val="Arial"/>
        <family val="2"/>
      </rPr>
      <t xml:space="preserve"> </t>
    </r>
  </si>
  <si>
    <t>Rate Formula Template</t>
  </si>
  <si>
    <t>Details</t>
  </si>
  <si>
    <t>Transmission Related</t>
  </si>
  <si>
    <t>Adjustment to Remove Revenue Requirements Associated with Excluded Transmission Facilities</t>
  </si>
  <si>
    <t>Description of the Facilities</t>
  </si>
  <si>
    <t>Excluded Plant Cost Support</t>
  </si>
  <si>
    <t>Directly Assigned A&amp;G</t>
  </si>
  <si>
    <t>Other</t>
  </si>
  <si>
    <t>Form 1 Amount</t>
  </si>
  <si>
    <t>Income Tax Rates</t>
  </si>
  <si>
    <t>Regulatory Expense Related to Transmission Cost Support</t>
  </si>
  <si>
    <t>Allocated General &amp; Common Expenses</t>
  </si>
  <si>
    <t>EPRI Dues</t>
  </si>
  <si>
    <t>EPRI Dues Cost Support</t>
  </si>
  <si>
    <t>Balance</t>
  </si>
  <si>
    <t>May</t>
  </si>
  <si>
    <t>April</t>
  </si>
  <si>
    <t>Year</t>
  </si>
  <si>
    <t>SIT=State Income Tax Rate or Composite</t>
  </si>
  <si>
    <t>DA</t>
  </si>
  <si>
    <t>Stores Expense Undistributed</t>
  </si>
  <si>
    <t>End of Year</t>
  </si>
  <si>
    <t>Materials &amp; Supplies</t>
  </si>
  <si>
    <t>Production Accumulated Depreciation</t>
  </si>
  <si>
    <t>December</t>
  </si>
  <si>
    <t>company records</t>
  </si>
  <si>
    <t>November</t>
  </si>
  <si>
    <t xml:space="preserve">October </t>
  </si>
  <si>
    <t>September</t>
  </si>
  <si>
    <t>August</t>
  </si>
  <si>
    <t>July</t>
  </si>
  <si>
    <t xml:space="preserve">June </t>
  </si>
  <si>
    <t>March</t>
  </si>
  <si>
    <t>February</t>
  </si>
  <si>
    <t>January</t>
  </si>
  <si>
    <t>Calculation of Production Accumulated Depreciation</t>
  </si>
  <si>
    <t>Calculation of General Accumulated Depreciation</t>
  </si>
  <si>
    <t>Distribution Accumulated Depreciation</t>
  </si>
  <si>
    <t>Calculation of Distribution Accumulated Depreciation</t>
  </si>
  <si>
    <t>Transmission Accumulated Depreciation</t>
  </si>
  <si>
    <t>October</t>
  </si>
  <si>
    <t>Calculation of Transmission Accumulated Depreciation</t>
  </si>
  <si>
    <t>Accumulated Depreciation Worksheet</t>
  </si>
  <si>
    <t>Production Plant In Service</t>
  </si>
  <si>
    <t>Calculation of Production Plant In Service</t>
  </si>
  <si>
    <t>General Plant In Service</t>
  </si>
  <si>
    <t>Calculation of General Plant In Service</t>
  </si>
  <si>
    <t>Intangible Plant In Service</t>
  </si>
  <si>
    <t>Calculation of Intangible Plant In Service</t>
  </si>
  <si>
    <t>Distribution Plant In Service</t>
  </si>
  <si>
    <t>Calculation of Distribution Plant In Service</t>
  </si>
  <si>
    <t>Calculation of Transmission  Plant In Service</t>
  </si>
  <si>
    <t>Plant in Service Worksheet</t>
  </si>
  <si>
    <t>Misc non-transmission rentals</t>
  </si>
  <si>
    <t>Transmission tower wireless rentals</t>
  </si>
  <si>
    <t>Underground rentals</t>
  </si>
  <si>
    <t>Joint pole attachments - telephone</t>
  </si>
  <si>
    <t>Account 454</t>
  </si>
  <si>
    <t>All Account 454 and 456 Revenues must be itemized below</t>
  </si>
  <si>
    <t>Note 2</t>
  </si>
  <si>
    <t>Note 1</t>
  </si>
  <si>
    <t>Total Revenue Credits</t>
  </si>
  <si>
    <t>Revenues from Directly Assigned Transmission Facility Charges (Note 2)</t>
  </si>
  <si>
    <t>Joint pole attachments - cable</t>
  </si>
  <si>
    <t>Average</t>
  </si>
  <si>
    <t>Transmission Plant In Service</t>
  </si>
  <si>
    <t>Total Plant In Service</t>
  </si>
  <si>
    <t>Accumulated General Depreciation</t>
  </si>
  <si>
    <t>Regulatory Commission Exp Account 928</t>
  </si>
  <si>
    <t>General Advertising Exp Account 930.1</t>
  </si>
  <si>
    <t>Excluded Transmission Facilities</t>
  </si>
  <si>
    <t>Transmission Materials &amp; Supplies</t>
  </si>
  <si>
    <t>Beginning of Year</t>
  </si>
  <si>
    <t>Average Balance</t>
  </si>
  <si>
    <t xml:space="preserve">  General &amp; Intangible</t>
  </si>
  <si>
    <t xml:space="preserve">  Preferred Stock  </t>
  </si>
  <si>
    <t>LAND HELD FOR FUTURE USE</t>
  </si>
  <si>
    <t xml:space="preserve">Cash Working Capital assigned to transmission is one-eighth of O&amp;M allocated to transmission </t>
  </si>
  <si>
    <t xml:space="preserve">GROSS REVENUE REQUIREMENT    </t>
  </si>
  <si>
    <t>Multi-state Workpaper</t>
  </si>
  <si>
    <t>Weighed Average</t>
  </si>
  <si>
    <t xml:space="preserve">  General and Intangible</t>
  </si>
  <si>
    <t>Over (Under) Recovery</t>
  </si>
  <si>
    <t>Interest Rate on Amount of Refunds or Surcharges</t>
  </si>
  <si>
    <t>Over (Under) Recovery Plus Interest</t>
  </si>
  <si>
    <t>Months</t>
  </si>
  <si>
    <t>Calculated Interest</t>
  </si>
  <si>
    <t>Amortization</t>
  </si>
  <si>
    <t>Surcharge (Refund) Owed</t>
  </si>
  <si>
    <t>Calculation of Interest</t>
  </si>
  <si>
    <t>Monthly</t>
  </si>
  <si>
    <t>June</t>
  </si>
  <si>
    <t>Annual</t>
  </si>
  <si>
    <t>Over (Under) Recovery Plus Interest Amortized and Recovered Over 12 Months</t>
  </si>
  <si>
    <t>Total Amount of True-Up Adjustment</t>
  </si>
  <si>
    <t>Less Over (Under) Recovery</t>
  </si>
  <si>
    <t>Total Interest</t>
  </si>
  <si>
    <t>Item</t>
  </si>
  <si>
    <t>p323.189.b</t>
  </si>
  <si>
    <t xml:space="preserve">  Account No. 255 (enter negative)  </t>
  </si>
  <si>
    <t>354.21.b</t>
  </si>
  <si>
    <t>354.23.b</t>
  </si>
  <si>
    <t>354.24,25,26.b</t>
  </si>
  <si>
    <t>SUPPORTING CALCULATIONS AND NOTES</t>
  </si>
  <si>
    <t>TRANSMISSION PLANT INCLUDED IN RTO RATES</t>
  </si>
  <si>
    <t>Rent from FERC Form No. 1</t>
  </si>
  <si>
    <t>Other Electric Revenues (Note 2)</t>
  </si>
  <si>
    <t xml:space="preserve">  Account No. 255 (enter negative) (Note F)</t>
  </si>
  <si>
    <t>Attachment 7</t>
  </si>
  <si>
    <t>Less</t>
  </si>
  <si>
    <t>Equals</t>
  </si>
  <si>
    <t>FERC Account</t>
  </si>
  <si>
    <t xml:space="preserve">If the facilities associated with the revenues are not included in the formula, the revenue is shown below, but not included in the total above and explained in the Attachment 3. </t>
  </si>
  <si>
    <t>Line No.</t>
  </si>
  <si>
    <t>TOTAL</t>
  </si>
  <si>
    <t>Transmission Service</t>
  </si>
  <si>
    <t>Trans. Fac. Charge</t>
  </si>
  <si>
    <t>Trans Studies</t>
  </si>
  <si>
    <t>Less:</t>
  </si>
  <si>
    <t>Sub Total Revenue Credit</t>
  </si>
  <si>
    <t>Other 1</t>
  </si>
  <si>
    <t>Other 2</t>
  </si>
  <si>
    <t>Prior Period Adjustments</t>
  </si>
  <si>
    <t xml:space="preserve">     Revenue for Demands in Divisor </t>
  </si>
  <si>
    <t xml:space="preserve">     Less Accounts 565, 561 and 561.1 to 561.8</t>
  </si>
  <si>
    <t>K</t>
  </si>
  <si>
    <t xml:space="preserve">     (Prepayments exclude Prepaid Pension Assets)</t>
  </si>
  <si>
    <t>Reserves</t>
  </si>
  <si>
    <t>Reserve 2</t>
  </si>
  <si>
    <t>Reserve 3</t>
  </si>
  <si>
    <t>Labor</t>
  </si>
  <si>
    <t>Cost of Preferred Stock</t>
  </si>
  <si>
    <t xml:space="preserve">Plant </t>
  </si>
  <si>
    <t>Related</t>
  </si>
  <si>
    <t>ADIT- 282</t>
  </si>
  <si>
    <t>From Acct. 282 total, below</t>
  </si>
  <si>
    <t>ADIT-283</t>
  </si>
  <si>
    <t>From Acct. 283 total, below</t>
  </si>
  <si>
    <t>ADIT-190</t>
  </si>
  <si>
    <t>From Acct. 190 total, below</t>
  </si>
  <si>
    <t>Subtotal</t>
  </si>
  <si>
    <t>Wages &amp; Salary Allocator</t>
  </si>
  <si>
    <t>End of  Year ADIT</t>
  </si>
  <si>
    <t>In filling out this attachment, a full and complete description of each item and justification for the allocation to Columns B-F and each separate ADIT item will be listed,</t>
  </si>
  <si>
    <t>Gas, Prod</t>
  </si>
  <si>
    <t>Or Other</t>
  </si>
  <si>
    <t>Justification</t>
  </si>
  <si>
    <t>Subtotal - p234</t>
  </si>
  <si>
    <t>Less FASB 109 Above if not separately removed</t>
  </si>
  <si>
    <t>Less FASB 106 Above if not separately removed</t>
  </si>
  <si>
    <t>Instructions for Account 190:</t>
  </si>
  <si>
    <t>1.  ADIT items related only to Non-Electric Operations (e.g., Gas, Water, Sewer) or Production are directly assigned to Column C</t>
  </si>
  <si>
    <t>2.  ADIT items related only to Transmission are directly assigned to Column D</t>
  </si>
  <si>
    <t>3.  ADIT items related to Plant and not in Columns C &amp; D are included in Column E</t>
  </si>
  <si>
    <t>4.  ADIT items related to labor and not in Columns C &amp; D are included in Column F</t>
  </si>
  <si>
    <t xml:space="preserve">Subtotal - p275  </t>
  </si>
  <si>
    <t>Instructions for Account 282:</t>
  </si>
  <si>
    <t xml:space="preserve">Subtotal - p277  </t>
  </si>
  <si>
    <t>Instructions for Account 283:</t>
  </si>
  <si>
    <t>Attachment 6a - Accumulated Deferred Income Taxes (ADIT) Worksheet (Beginning of Year)</t>
  </si>
  <si>
    <t>Attachment 6b - Accumulated Deferred Income Taxes (ADIT) Worksheet (End of Year)</t>
  </si>
  <si>
    <t>ADIT- 283</t>
  </si>
  <si>
    <t xml:space="preserve">  181/365 and 184/365, respectively, for a non-leap year.</t>
  </si>
  <si>
    <t>Safety Related, Education, Siting &amp; Outreach Related</t>
  </si>
  <si>
    <t>Safety Related and Education and Out Reach Cost Support</t>
  </si>
  <si>
    <t>Details*</t>
  </si>
  <si>
    <t>* insert case specific detail and associated assignments here</t>
  </si>
  <si>
    <t>Reserve 4</t>
  </si>
  <si>
    <t>…</t>
  </si>
  <si>
    <t>Attachment 2 - Cost Support</t>
  </si>
  <si>
    <t>Projected Annual Transmission Revenue Requirement</t>
  </si>
  <si>
    <t>Appendix A</t>
  </si>
  <si>
    <t>Page 1 of 5</t>
  </si>
  <si>
    <t>Page 5 of 5</t>
  </si>
  <si>
    <t>Page 4 of 5</t>
  </si>
  <si>
    <t>Page 3 of 5</t>
  </si>
  <si>
    <t>Page 2 of 5</t>
  </si>
  <si>
    <t xml:space="preserve">Professional Services </t>
  </si>
  <si>
    <t xml:space="preserve">Rent or Attachment Fees associated with Transmission Facilities </t>
  </si>
  <si>
    <t>Notes 1 &amp; 3</t>
  </si>
  <si>
    <t>Note 3</t>
  </si>
  <si>
    <t>Prepayments</t>
  </si>
  <si>
    <t>p353._.f (enter FN1 line #)</t>
  </si>
  <si>
    <t>p219.20 thru 219.24.b</t>
  </si>
  <si>
    <t>Monthly Interest Rate on Attachment 7a</t>
  </si>
  <si>
    <t>(a)</t>
  </si>
  <si>
    <t>(b)</t>
  </si>
  <si>
    <t>ROE will be supported in the original filing and no change in ROE may be made absent a filing with FERC under FPA Section 205 or 206.</t>
  </si>
  <si>
    <t>Construction Materials &amp; Supplies</t>
  </si>
  <si>
    <t>p227.16</t>
  </si>
  <si>
    <t>p227.8</t>
  </si>
  <si>
    <t>p227.5</t>
  </si>
  <si>
    <t xml:space="preserve"> Form No.1 page</t>
  </si>
  <si>
    <t>Net Revenue Requirement</t>
  </si>
  <si>
    <t>NET ADJUSTED REVENUE REQUIREMENT</t>
  </si>
  <si>
    <t>Underground Conduit</t>
  </si>
  <si>
    <t>(c)</t>
  </si>
  <si>
    <t>Description</t>
  </si>
  <si>
    <t>(d)</t>
  </si>
  <si>
    <t>(e)</t>
  </si>
  <si>
    <t>(f)</t>
  </si>
  <si>
    <t>(g)</t>
  </si>
  <si>
    <t>(h)</t>
  </si>
  <si>
    <t>Attachment 4</t>
  </si>
  <si>
    <t>Attachment 3 - Cost Support</t>
  </si>
  <si>
    <t>NY-ISO</t>
  </si>
  <si>
    <t>New York</t>
  </si>
  <si>
    <t>L</t>
  </si>
  <si>
    <t>(i)</t>
  </si>
  <si>
    <t>(j)</t>
  </si>
  <si>
    <t xml:space="preserve">If the first year is a partial year, the true-up (over or under recovery per month and interest calculation) will reflect only the </t>
  </si>
  <si>
    <t xml:space="preserve">An over or under collection will be recovered prorata over year collected, held for one year and returned prorata over next year. </t>
  </si>
  <si>
    <t>number of months for which the rate was charged.</t>
  </si>
  <si>
    <t>GROSS PLANT IN SERVICE (Note M)</t>
  </si>
  <si>
    <t>ACCUMULATED DEPRECIATION &amp; AMORTIZATION  (Note M)</t>
  </si>
  <si>
    <t xml:space="preserve">All revenues booked to Account 454 that are derived from cost items classified as transmission-related will be included as a revenue credit.  All revenues booked to Account 456 (includes 456.1) that are derived from cost items classified as transmission-related, and are not derived from rates under this transmission formula rate will be included as a revenue credit.   Work papers will be included to properly classify revenues booked to these accounts to the transmission function.  A breakdown of all Account 454 revenues by subaccount will be provided below, and will be used to derive the proper calculation of revenue credits.  A breakdown of all Account 456 revenues by subaccount and customer will be provided and tabulated below, and will be used to develop the proper calculation of revenue credits.  </t>
  </si>
  <si>
    <t xml:space="preserve">  Unfunded Reserves (enter negative)</t>
  </si>
  <si>
    <t xml:space="preserve">  (State Income Tax Rate or Composite SIT from Attach 3)</t>
  </si>
  <si>
    <t xml:space="preserve">  Long Term Debt </t>
  </si>
  <si>
    <t xml:space="preserve">EPRI and EEI Dues to be excluded from the formula rate </t>
  </si>
  <si>
    <t>(k)</t>
  </si>
  <si>
    <t>(l)</t>
  </si>
  <si>
    <t>(m)</t>
  </si>
  <si>
    <t>(n)</t>
  </si>
  <si>
    <t>(o)</t>
  </si>
  <si>
    <t>(p)</t>
  </si>
  <si>
    <t>(q)</t>
  </si>
  <si>
    <t>The balances in Accounts 190, 281, 282 and 283, as adjusted by any amounts in contra accounts identified as regulatory assets or liabilities related</t>
  </si>
  <si>
    <r>
      <t>Enter 1 if NOT in a trust or</t>
    </r>
    <r>
      <rPr>
        <sz val="10"/>
        <rFont val="Times New Roman"/>
        <family val="1"/>
      </rPr>
      <t xml:space="preserve"> reserved account, enter zero (0) if included in a trust or reserved account </t>
    </r>
  </si>
  <si>
    <t>Enter 1 if the accrual account is included in the formula rate, enter (0) if  O if the accrual account is NOT included in the formula rate</t>
  </si>
  <si>
    <t xml:space="preserve">Enter the percentage paid for by customers, 1 less the percent associated with an offsetting liability on the balance sheet </t>
  </si>
  <si>
    <t xml:space="preserve">Allocation (Plant or Labor Allocator) </t>
  </si>
  <si>
    <t xml:space="preserve">(c) </t>
  </si>
  <si>
    <t xml:space="preserve">(e) </t>
  </si>
  <si>
    <t>Subaccount No.</t>
  </si>
  <si>
    <t>Item Name</t>
  </si>
  <si>
    <t>Project</t>
  </si>
  <si>
    <t xml:space="preserve"> Land Rights </t>
  </si>
  <si>
    <t xml:space="preserve"> Structures and Improvements </t>
  </si>
  <si>
    <t xml:space="preserve"> Structures and Improvements - Equipment</t>
  </si>
  <si>
    <t xml:space="preserve"> Station Equipment </t>
  </si>
  <si>
    <t xml:space="preserve"> Towers and Fixtures </t>
  </si>
  <si>
    <t xml:space="preserve"> Poles and Fixtures </t>
  </si>
  <si>
    <t xml:space="preserve"> Overhead Conductor and Devices </t>
  </si>
  <si>
    <t xml:space="preserve"> Underground Conduit </t>
  </si>
  <si>
    <t xml:space="preserve"> Underground Conductor and Devices </t>
  </si>
  <si>
    <t>Land Held for Future Use and Estimated Date</t>
  </si>
  <si>
    <t xml:space="preserve">5 Yr </t>
  </si>
  <si>
    <t xml:space="preserve">15 year </t>
  </si>
  <si>
    <t>Land Held for Future Use (LHFU)</t>
  </si>
  <si>
    <t>Form No.1</t>
  </si>
  <si>
    <t>Reference</t>
  </si>
  <si>
    <t>13 Month Avg.</t>
  </si>
  <si>
    <t>Long Term Debt:</t>
  </si>
  <si>
    <t>Acct 221 Bonds</t>
  </si>
  <si>
    <t>112.18.c,d</t>
  </si>
  <si>
    <t>Acct 223 Advances from Assoc. Companies</t>
  </si>
  <si>
    <t>112.20.c,d</t>
  </si>
  <si>
    <t>Acct 224 Other Long Term Debt</t>
  </si>
  <si>
    <t>112.21.c,d</t>
  </si>
  <si>
    <t>Less  Acct 222 Reacquired Debt</t>
  </si>
  <si>
    <t>Total Long Term Debt</t>
  </si>
  <si>
    <t>112.3.c,d</t>
  </si>
  <si>
    <t>Common Equity- Per Books</t>
  </si>
  <si>
    <t>112.16.c,d</t>
  </si>
  <si>
    <t>Less Acct 204 Preferred Stock</t>
  </si>
  <si>
    <t>Less Acct 219 Accum Other Compre. Income</t>
  </si>
  <si>
    <t>112.15.c,d</t>
  </si>
  <si>
    <t>Less Acct 216.1 Unappropriated Undistributed Subsidiary Earnings</t>
  </si>
  <si>
    <t>112.12.c,d</t>
  </si>
  <si>
    <t>Cost of Debt</t>
  </si>
  <si>
    <t>Acct 427 Interest on Long Term Debt</t>
  </si>
  <si>
    <t>117.62.c</t>
  </si>
  <si>
    <t>Acct 428 Amortization of Debt Discount and Expense</t>
  </si>
  <si>
    <t>117.63.c</t>
  </si>
  <si>
    <t>Acct 428.1 Amortization of Loss on Reacquired Debt</t>
  </si>
  <si>
    <t>117.64.c</t>
  </si>
  <si>
    <t>117.67.c</t>
  </si>
  <si>
    <t>Less:  Acct 429 Amort of Premium on Debt</t>
  </si>
  <si>
    <t>117.65.c enter negative</t>
  </si>
  <si>
    <t>Less:  Acct 429.1 Amort of Gain on Reacquired Debt</t>
  </si>
  <si>
    <t>117.66.c enter negative</t>
  </si>
  <si>
    <t>Total Interest Expense</t>
  </si>
  <si>
    <t>Preferred Stock Dividends</t>
  </si>
  <si>
    <t>118.29.c</t>
  </si>
  <si>
    <t>COST OF CAPITAL</t>
  </si>
  <si>
    <t xml:space="preserve">DEPRECIATION EXPENSE </t>
  </si>
  <si>
    <t xml:space="preserve">   to FASB 106 or 109.  The formula uses the stated average of the beginning and end of year balances to prorate ADIT to comply with IRS normalization rules.  Balance of Account 255</t>
  </si>
  <si>
    <t>Safety advertising consists of any advertising whose primary purpose is to educate the recipient as to what is safe or is not safe.</t>
  </si>
  <si>
    <t>Calculation of Intangible Accumulated Amortization</t>
  </si>
  <si>
    <t>Accumulated Intangible Amortization</t>
  </si>
  <si>
    <t>Total Accumulated Depreciation and Amortization</t>
  </si>
  <si>
    <t>Company Records</t>
  </si>
  <si>
    <t>5. If the item giving rise to the ADIT is not included in the formula, the associated ADIT amount shall be excluded</t>
  </si>
  <si>
    <t>These depreciation and amortization rates will not change absent the appropriate filing at FERC.</t>
  </si>
  <si>
    <t>Weighting</t>
  </si>
  <si>
    <t>Attachment 5</t>
  </si>
  <si>
    <t xml:space="preserve">Transmission plant included in OATT Ancillary Services and not otherwise excluded </t>
  </si>
  <si>
    <t>N</t>
  </si>
  <si>
    <t>Total LHFU in rate base (sum lines 5a-5x):</t>
  </si>
  <si>
    <t>Total  (sum lines 9a-9x)</t>
  </si>
  <si>
    <t>Average of Columns (d) Through (p)</t>
  </si>
  <si>
    <t>Account 454 - Rent from Electric Property  (300.19.b)</t>
  </si>
  <si>
    <t>Account 456 (including 456.1) (300.21.b and 300.22.b)</t>
  </si>
  <si>
    <t xml:space="preserve">Note 1: Revenue requirements billed is input, source data are the invoices from NYISO.  The amounts exclude any true ups or prior period adjustments. </t>
  </si>
  <si>
    <t>Actual Revenue Requirement (Note 2)</t>
  </si>
  <si>
    <t>Revenue Requirement Billed (Note 1)</t>
  </si>
  <si>
    <t xml:space="preserve">Source </t>
  </si>
  <si>
    <t>112.19 c, d enter negative</t>
  </si>
  <si>
    <t>dissimilar items with amounts exceeding $100,000 will be listed separately.  For ADIT directly related to project depreciation or CWIP, the balance must be shown in a separate row for each project.</t>
  </si>
  <si>
    <t>Index</t>
  </si>
  <si>
    <t>Attachment 1</t>
  </si>
  <si>
    <t>Attachment 2</t>
  </si>
  <si>
    <t>Attachment 3</t>
  </si>
  <si>
    <t>Attachment 8</t>
  </si>
  <si>
    <t>Attachment 9</t>
  </si>
  <si>
    <t>Depreciation Rates</t>
  </si>
  <si>
    <t>ADIT-282</t>
  </si>
  <si>
    <t>MTA</t>
  </si>
  <si>
    <t>NYC</t>
  </si>
  <si>
    <t>Hurley Avenue SDU</t>
  </si>
  <si>
    <t>Smart Wire Device</t>
  </si>
  <si>
    <t>purposes of calculating rate base and depreciation to be recovered.</t>
  </si>
  <si>
    <t>MACRS for plant additions</t>
  </si>
  <si>
    <t xml:space="preserve">Preferred Stock </t>
  </si>
  <si>
    <t>p219.25.b</t>
  </si>
  <si>
    <t>p200.21.c</t>
  </si>
  <si>
    <t>p219.28.b</t>
  </si>
  <si>
    <t>Source</t>
  </si>
  <si>
    <t>2018</t>
  </si>
  <si>
    <t xml:space="preserve">March </t>
  </si>
  <si>
    <t>Injuries &amp; Damages Reserve 112.27.d</t>
  </si>
  <si>
    <t xml:space="preserve">336.1.f + 336.10.f </t>
  </si>
  <si>
    <t>M</t>
  </si>
  <si>
    <t>321.116.b</t>
  </si>
  <si>
    <t>321.99.b &amp; 87.b to 94.b</t>
  </si>
  <si>
    <t>323.205.b</t>
  </si>
  <si>
    <t>Plus CIAC Reveived (O&amp;M, A&amp;G and Taxes other than income would be on full amount)</t>
  </si>
  <si>
    <t>Total Adjusted Transmission Plant</t>
  </si>
  <si>
    <t>Total Gross Plant</t>
  </si>
  <si>
    <t>AGP=</t>
  </si>
  <si>
    <t>AGP</t>
  </si>
  <si>
    <t>AEP=</t>
  </si>
  <si>
    <t>AEP</t>
  </si>
  <si>
    <t>Attachment 9 - Workpapers</t>
  </si>
  <si>
    <t>Attachment 8 - Depreciation and Amortization Rates</t>
  </si>
  <si>
    <t>For the 12 months ended 5/31/XX</t>
  </si>
  <si>
    <t xml:space="preserve"> Net Transmission O&amp;M</t>
  </si>
  <si>
    <t>TOTAL GROSS PLANT</t>
  </si>
  <si>
    <t>TOTAL ACCUMULATED DEPRECIATION &amp; AMORTIZATION</t>
  </si>
  <si>
    <t>TOTAL NET PLANT</t>
  </si>
  <si>
    <t>TOTAL ADJUSTMENTS</t>
  </si>
  <si>
    <t>TOTAL WORKING CAPITAL</t>
  </si>
  <si>
    <t>RATE BASE</t>
  </si>
  <si>
    <t>TOTAL O&amp;M</t>
  </si>
  <si>
    <t>TOTAL DEPRECIATION</t>
  </si>
  <si>
    <t xml:space="preserve">TOTAL OTHER TAXES  </t>
  </si>
  <si>
    <t>TOTAL INCOME TAXES</t>
  </si>
  <si>
    <t>Investment Tax Credit</t>
  </si>
  <si>
    <t>Annual Amortization</t>
  </si>
  <si>
    <t>TOTAL GROSS REVENUE REQUIREMENT</t>
  </si>
  <si>
    <t xml:space="preserve">Total transmission plant    </t>
  </si>
  <si>
    <t xml:space="preserve">Transmission plant included in RTO rates  </t>
  </si>
  <si>
    <t>Less transmission plant excluded from RTO rates (Note H)</t>
  </si>
  <si>
    <t>Less transmission plant included in OATT Ancillary Services (Note H)</t>
  </si>
  <si>
    <t>Plus CIAC Received (O&amp;M, A&amp;G and Taxes other than income would be on full amount)</t>
  </si>
  <si>
    <t>Contribution in Aid of Construction</t>
  </si>
  <si>
    <t>To Be Included in the Formual Rate</t>
  </si>
  <si>
    <t xml:space="preserve">Percentage of transmission plant included in RTO Rates </t>
  </si>
  <si>
    <t xml:space="preserve">Total transmission plant  </t>
  </si>
  <si>
    <t xml:space="preserve">Project as percentage of transmission plant </t>
  </si>
  <si>
    <t>Transmission plant included in RTO rates</t>
  </si>
  <si>
    <t xml:space="preserve">Project as percentage of total plant </t>
  </si>
  <si>
    <t>Cost Rate</t>
  </si>
  <si>
    <t xml:space="preserve">  Total</t>
  </si>
  <si>
    <t>Form No. 1 Reference</t>
  </si>
  <si>
    <t>Attachment Reference</t>
  </si>
  <si>
    <t xml:space="preserve">    Income Tax Calculation</t>
  </si>
  <si>
    <t xml:space="preserve">    Investment Tax Credits</t>
  </si>
  <si>
    <t xml:space="preserve">   Rate Base * Rate of Return</t>
  </si>
  <si>
    <t xml:space="preserve">PROJECT AS PERCENTAGE OF TOTAL TRANSMISSION PLANT </t>
  </si>
  <si>
    <t>PROJECT AS PERCENTAGE OF TOTAL PLANT</t>
  </si>
  <si>
    <t xml:space="preserve"> Accumulated Deferred Income Taxes (Note A)</t>
  </si>
  <si>
    <t>ADJUSTMENTS TO RATE BASE</t>
  </si>
  <si>
    <t xml:space="preserve">     Investment Tax Credit Amortization (Note F)</t>
  </si>
  <si>
    <t>For future use</t>
  </si>
  <si>
    <t>and all advertising expenses included in Account 930.1, except safety, education or out-reach related advertising.</t>
  </si>
  <si>
    <t xml:space="preserve">  Taxes related to income are not included here.  Gross receipts taxes are not included in the transmission revenue requirement in the Formula Rate Template, </t>
  </si>
  <si>
    <t xml:space="preserve">  Plus Safety Advertising</t>
  </si>
  <si>
    <t xml:space="preserve">     Plus Transmission Related Reg. Comm.  Exp. </t>
  </si>
  <si>
    <t xml:space="preserve">  A&amp;G (Note D)</t>
  </si>
  <si>
    <t>A&amp;G excludes EPRI Annual Membership Dues listed in Form 1 at 353, all Regulatory Commission Expenses itemized in Form 1 at page 351.h. </t>
  </si>
  <si>
    <t>A&amp;G includes all Regulatory Commission Expenses directly related to transmission service, RTO filings, or transmission siting itemized at 351.h.</t>
  </si>
  <si>
    <t>INCOME TAXES (Note F)</t>
  </si>
  <si>
    <t xml:space="preserve">  work paper showing the name of each state and how the blended or composite SIT was developed.  Furthermore, include amortization of investment tax credit for a utility that</t>
  </si>
  <si>
    <t xml:space="preserve">  elected to utilize amortization of tax credits against taxable income, rather than book tax credits to Account No. 255 and reduce rate base.</t>
  </si>
  <si>
    <t xml:space="preserve">     T=1 - {[(1 - SIT) * (1 - FIT)] / (1 - SIT * FIT * p))} =</t>
  </si>
  <si>
    <t>For future use.</t>
  </si>
  <si>
    <t>All transmission gross operating property except that related to the Hurley Avenue Substation.</t>
  </si>
  <si>
    <t>WAGES &amp; SALARY ALLOCATOR   (W/S)</t>
  </si>
  <si>
    <t xml:space="preserve">The capital structure will be the actual capital structure up to 53% equity.  If the actual equity ratio exceeds 53%, the common stock ratio will be reset to 53% and the debt ratio will be equal to 1 minus sum of the preferred stock ratio and common stock ratio.        </t>
  </si>
  <si>
    <t>p204-207, l. 58</t>
  </si>
  <si>
    <t>p204-207, l. 75</t>
  </si>
  <si>
    <t>p204-207, l. 5</t>
  </si>
  <si>
    <t>p204-207, l. 99</t>
  </si>
  <si>
    <t>p204-207, l. 46</t>
  </si>
  <si>
    <t>p219.25c</t>
  </si>
  <si>
    <t>336.7.f fn</t>
  </si>
  <si>
    <t>Prepayments (Account 165)</t>
  </si>
  <si>
    <t>Investment Tax Credits and Prepayments</t>
  </si>
  <si>
    <t>Electric only</t>
  </si>
  <si>
    <t>13 Month Average Amount</t>
  </si>
  <si>
    <t>All applicable unfunded reserves will be listed above, specifically including (but not limited to) all subaccounts for FERC Account Nos. 228.1 through 228.4.  "Unfunded reserve" is defined as an accrued balance (1) created and increased by debiting an expense which is included in this formula rate (column (e), using the same allocator in column (g) as used in the formula to allocate the amounts in the corresponding expense account)  (2) in advance of an anticipated expenditure related to that expense (3) that is not deposited in a restricted account (e.g., set aside in an escrow account, see column (d)) with the earnings thereon retained within that account.  Where a given reserve is only partially funded through accruals collected from customers, only the balance funded by customer collections shall serve as a rate base credit, see column (f).  The source of monthly balance data is company records.</t>
  </si>
  <si>
    <t>Average Reserve Balance</t>
  </si>
  <si>
    <t>Injuries and Damages</t>
  </si>
  <si>
    <t>EEI Dues</t>
  </si>
  <si>
    <t>Multiple state rates are weighted based on the state apportionment factors on the state income tax returns and the number of days in the year that the rates are effective (see Note F of Appendix A)</t>
  </si>
  <si>
    <t>Education advertising consists of any advertising whose primary purpose is to educate the recipient as about transmission related facts or issues.</t>
  </si>
  <si>
    <t>Outreach advertising consists of advertising whose primary purpose is to attract the attention of the recipient about a transmission related issue.</t>
  </si>
  <si>
    <t>Siting advertising consists of advertising whose primary purpose is to inform the recipient about locating transmission facilities.</t>
  </si>
  <si>
    <t>Lobbying expenses are not allowed to be included in account 930.1.</t>
  </si>
  <si>
    <t>FF1 p. 227</t>
  </si>
  <si>
    <t>Gross Plant Allocator</t>
  </si>
  <si>
    <t>Allocated Amount</t>
  </si>
  <si>
    <t>Transmission Plant Allocator</t>
  </si>
  <si>
    <t>Attachment 4 - Cost Support</t>
  </si>
  <si>
    <t>FF1</t>
  </si>
  <si>
    <t>Acct 430 Interest on Debt to Assoc. Companies (LTD portion only) (Note 1)</t>
  </si>
  <si>
    <t>Note 1.  Interest on Debt to Associated Companies (FERC 430) will be populated with interest related to Long-Term Debt only.</t>
  </si>
  <si>
    <t>Average Cost of Long-term DebtDebt</t>
  </si>
  <si>
    <t>Average Cost of Preferred Stock</t>
  </si>
  <si>
    <t>Total Capitalization</t>
  </si>
  <si>
    <t>Dissimilar items with amounts exceeding $100,000 will be listed separately.  For ADIT directly related to project depreciation or CWIP, the balance must shown in a separate row for each project.</t>
  </si>
  <si>
    <t>Cost of Removal</t>
  </si>
  <si>
    <t>Gross Plant</t>
  </si>
  <si>
    <t>Janiary</t>
  </si>
  <si>
    <t>June  through May</t>
  </si>
  <si>
    <t>2019-2020</t>
  </si>
  <si>
    <t xml:space="preserve">FERC Interest Rate </t>
  </si>
  <si>
    <t>QTR 3 2018</t>
  </si>
  <si>
    <t>QTR 4 2018</t>
  </si>
  <si>
    <t>QTR 4 2019</t>
  </si>
  <si>
    <t>QTR 4 2020</t>
  </si>
  <si>
    <t>QTR 1 2019</t>
  </si>
  <si>
    <t xml:space="preserve">QTR 2 2019 </t>
  </si>
  <si>
    <t>QTR 3 2019</t>
  </si>
  <si>
    <t>QTR 1 2020</t>
  </si>
  <si>
    <t>QTR 1 2021</t>
  </si>
  <si>
    <t>QTR 2 2020</t>
  </si>
  <si>
    <t>QTR 3 2020</t>
  </si>
  <si>
    <t>QTR 2 2021</t>
  </si>
  <si>
    <t xml:space="preserve"> 18 C.F.R. Section 18 35.19 (a)</t>
  </si>
  <si>
    <t>Attachment 7a - Interest Rate for Annual True-Up Adjustment</t>
  </si>
  <si>
    <t>Attachment 7 - Annual True-Up Adjustment</t>
  </si>
  <si>
    <t>Land Rights - Substations and Other</t>
  </si>
  <si>
    <t>Supervisory Equipment - In Use</t>
  </si>
  <si>
    <t>Supervisory Equipment - Held</t>
  </si>
  <si>
    <t>Station Equipment - Electronics</t>
  </si>
  <si>
    <t>Overhead Lines - Clearing</t>
  </si>
  <si>
    <t>Smart Wire Devise</t>
  </si>
  <si>
    <t xml:space="preserve">Note 1:  The Contribution in Aid of Construction (CIAC) related to this Project is applied to offset all </t>
  </si>
  <si>
    <t xml:space="preserve">transmission plant categories with the remaining balance in account 356.3 for the new Smart Wire Device for the </t>
  </si>
  <si>
    <t>The Total column is included in a footnote to FERC Form No.1 on page 204-207.</t>
  </si>
  <si>
    <t>May 2018</t>
  </si>
  <si>
    <t>January 2019</t>
  </si>
  <si>
    <t>13 Month Average</t>
  </si>
  <si>
    <t>Actual Additions by FERC Account - Hurley Avenue Project</t>
  </si>
  <si>
    <t>Accumulated Depreciation</t>
  </si>
  <si>
    <t>The amounts are included in a footnote to FERC Form No.1 on page 219.</t>
  </si>
  <si>
    <t xml:space="preserve">Hurley </t>
  </si>
  <si>
    <t xml:space="preserve">May </t>
  </si>
  <si>
    <t>Depreciation Expense</t>
  </si>
  <si>
    <t>Average Depreciation Rate</t>
  </si>
  <si>
    <t>All other Transmission Assets besides the Hurley Project are not included in the Hurley Project formula rate.</t>
  </si>
  <si>
    <t>Structures &amp; Improvements - Equipment and Landscaping</t>
  </si>
  <si>
    <t>EDP Equipment - System and Main Frame</t>
  </si>
  <si>
    <t>EDP - Systems Operations - SCADA Data Handling Equipment</t>
  </si>
  <si>
    <t>Office Furniture</t>
  </si>
  <si>
    <t>Garage and Repair Equipment</t>
  </si>
  <si>
    <t>Shop Equipment</t>
  </si>
  <si>
    <t>Tools and Work Equipment</t>
  </si>
  <si>
    <t>Calculation of Annual Transmission Revenue Requirement</t>
  </si>
  <si>
    <t>HURLEY AVENUE PROJECT - SYSTEM DELIVERABILITY UPGRADE</t>
  </si>
  <si>
    <t>Cost Support - Monthly Plant and Accumulated Depreciation</t>
  </si>
  <si>
    <t>Cost Support</t>
  </si>
  <si>
    <t>Cost Support - Cost of Capital</t>
  </si>
  <si>
    <t>Revenue Credits</t>
  </si>
  <si>
    <t>Annual True-Up Adjustment</t>
  </si>
  <si>
    <t>Workpapers - Hurley Avenue Project Investment</t>
  </si>
  <si>
    <t>True-up Adjustment (Included Only With Projected ATRR)</t>
  </si>
  <si>
    <t>Timing difference related to depreciation on Hurley Avenue Substation Project.</t>
  </si>
  <si>
    <t>Related to Hurley Substation Project</t>
  </si>
  <si>
    <t>Related to Hurley Avenue Substation Project.</t>
  </si>
  <si>
    <t>Note 2: The actual revenue requirement is input from Appendix A.  The amounts exclude any true-ups or prior period corrections.</t>
  </si>
  <si>
    <t>3 Yr</t>
  </si>
  <si>
    <t>Transmission Facility Contributions in Aid of Construction</t>
  </si>
  <si>
    <t>Central Hudson Gas and Electric Corporation</t>
  </si>
  <si>
    <t xml:space="preserve"> Debit amounts are shown as positive and credit amounts are shown as negative.</t>
  </si>
  <si>
    <t>Debit amounts are shown as positive and credit amounts are shown as negative.</t>
  </si>
  <si>
    <t xml:space="preserve">Rate Year = </t>
  </si>
  <si>
    <t>Account 282 (Note A)</t>
  </si>
  <si>
    <t>(r)</t>
  </si>
  <si>
    <t>Beginning Balance &amp; Monthly Changes</t>
  </si>
  <si>
    <t>Days in the Month</t>
  </si>
  <si>
    <t>Number of Days Remaining in Year After Current Month</t>
  </si>
  <si>
    <t>Total Days in the Projected Rate Year</t>
  </si>
  <si>
    <t>Weighting for Projection (d)/(e)</t>
  </si>
  <si>
    <t>Beginning Balance/
Monthly Amount/ Ending Balance</t>
  </si>
  <si>
    <t>Schedule 19 Projects</t>
  </si>
  <si>
    <t>Transmission Proration
(f) x (h)</t>
  </si>
  <si>
    <t>Plant Related</t>
  </si>
  <si>
    <t>Gross Plant Allocator (Appendix A)</t>
  </si>
  <si>
    <t>Plant Allocation    (j) * (k)</t>
  </si>
  <si>
    <t>Plant Proration
(f) x (l)</t>
  </si>
  <si>
    <t>Labor Related (General and Common)</t>
  </si>
  <si>
    <t>W/S Allocator (Appendix A)</t>
  </si>
  <si>
    <t>Labor Allocation (n) * (o)</t>
  </si>
  <si>
    <t>Labor Proration
(f) x (p)</t>
  </si>
  <si>
    <t>Total Transmission Prorated Amount   (i) + (m) + (q)</t>
  </si>
  <si>
    <t>Prorated Balance</t>
  </si>
  <si>
    <t xml:space="preserve">Note A:  The calculations of ADIT amounts resulting from liberalized depreciations are performed in accordance with the proration requirements of Treasury Regulation Section 1.167(l)-1(h)(6).  </t>
  </si>
  <si>
    <t>Workpaper 6c: Accumulated Deferred Income Taxes - Prorated Projection</t>
  </si>
  <si>
    <t>Year =</t>
  </si>
  <si>
    <t>Days in Period</t>
  </si>
  <si>
    <t>Projection - Proration of Projected Deferred Tax Activity</t>
  </si>
  <si>
    <t>Actual Activity - Proration of Projected Deferred Tax Activity and Averaging of Other Deferred Tax Activity</t>
  </si>
  <si>
    <t>Month</t>
  </si>
  <si>
    <t xml:space="preserve">Number of Days Remaining in Year After Month's Accrual of Deferred Taxes </t>
  </si>
  <si>
    <t>Total Days in Projected Rate Year (Line 14, Col b)</t>
  </si>
  <si>
    <t>Proration Percentage (c)/(d)</t>
  </si>
  <si>
    <t>Projected Monthly Activity</t>
  </si>
  <si>
    <t>Prorated Amount       (e) * (f)</t>
  </si>
  <si>
    <t>Preserve proration when actual monthly and projected monthly activity are either both increases or decreases.  
(See Note A)</t>
  </si>
  <si>
    <t>Difference between projected and actual activity when actual and projected activity are either both increases or decreases.  
(See Note A)</t>
  </si>
  <si>
    <t>Actual activity (Col I) when projected activity is an increase while actual activity is a decrease OR projected activity is a decrease while actual activity is an increase.
(See Note A)</t>
  </si>
  <si>
    <t>Balance reflecting proration or averaging  (n) + (k) +((l) + (m))/2</t>
  </si>
  <si>
    <t>Total (d) * (e)</t>
  </si>
  <si>
    <t>Total (g) * (h)</t>
  </si>
  <si>
    <t>Grand Total (b) + (f) + (i)</t>
  </si>
  <si>
    <t>Actual Monthly Activity</t>
  </si>
  <si>
    <t xml:space="preserve">Differences attributable to over-projection of ADIT in the annual projection will result in a proportionate reversal of the projected prorated ADIT activity to the extent of the over-projection. </t>
  </si>
  <si>
    <t xml:space="preserve">Differences attributable to under-projection of ADIT in the annual projection will result in an adjustment to the projected prorated ADIT activity by the difference between the projected monthly activity </t>
  </si>
  <si>
    <t xml:space="preserve">and the actual monthly activity. However, when projected monthly ADIT activity is an increase and actual monthly ADIT activity is a decrease, actual monthly ADIT activity will be used. </t>
  </si>
  <si>
    <t xml:space="preserve">Likewise, when projected monthly ADIT activity is a decrease and actual monthly ADIT activity is an increase, actual monthly ADIT activity will be used.  </t>
  </si>
  <si>
    <t>Nonprorated Items</t>
  </si>
  <si>
    <t>Prorated ADIT</t>
  </si>
  <si>
    <t>Total ADIT</t>
  </si>
  <si>
    <t>Note B:  From Worksheet 6d-Prior Year ADIT Proration Actual</t>
  </si>
  <si>
    <t>Prorated Projected Balance                     Sum of (g)</t>
  </si>
  <si>
    <t>Actual Monthly Activity               (table below, grand total)</t>
  </si>
  <si>
    <t>Difference between projected monthly and actual monthly activity             (i) - (f)</t>
  </si>
  <si>
    <t>Attachment 6a-6d</t>
  </si>
  <si>
    <t>Accumulated Deferred Income Taxes</t>
  </si>
  <si>
    <t>263._.l (enter FN1 line #)</t>
  </si>
  <si>
    <t>263._.l +263._.l + 263._.l</t>
  </si>
  <si>
    <t>263._.i +263._.i</t>
  </si>
  <si>
    <t>263._.i</t>
  </si>
  <si>
    <t>May 31st balance of Prorated ADIT (Note B)</t>
  </si>
  <si>
    <t>Balances exclude Asset Retirement Costs</t>
  </si>
  <si>
    <t>Less:  Asset Retirement Obligations</t>
  </si>
  <si>
    <t>Adjusted Balance</t>
  </si>
  <si>
    <t>Workpaper 6d: Accumulated Deferred Income Taxes - Actual Proration</t>
  </si>
  <si>
    <t>6.12.5.2.1 Formula Rate Template</t>
  </si>
  <si>
    <t>Attachment 5 will be used in the event there is a future change to federal or state income tax rates.</t>
  </si>
  <si>
    <t xml:space="preserve">     Less EPRI, EEI, Regulatory Expenses and Safety Expenses</t>
  </si>
  <si>
    <t xml:space="preserve">During the annual review process, Central Hudson will provide its PBOP actuarial studies to any stakeholder that requests them. Central Hudson includes an accrual for PBOP expenses in Account 926 </t>
  </si>
  <si>
    <t>in its administrative and general expenses in its FERC Form 1, and administrative and general expenses are included in the formula rate on Line 35 of Appendix A.</t>
  </si>
  <si>
    <t>May 31st 2020 balance</t>
  </si>
  <si>
    <t>January 2021</t>
  </si>
  <si>
    <t>June 2020</t>
  </si>
  <si>
    <t>Effective August 26, 2025</t>
  </si>
  <si>
    <t>For Future Use</t>
  </si>
  <si>
    <t xml:space="preserve"> For Future Use</t>
  </si>
  <si>
    <t>Changes made to comply with FERC Order</t>
  </si>
  <si>
    <t xml:space="preserve">are highlighted in orange.  </t>
  </si>
  <si>
    <t>Attachment 5 - For Future Use</t>
  </si>
  <si>
    <t>Attachment 1 - Revenue Credit Workpaper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</si>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</sst>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6">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0.0%"/>
    <numFmt numFmtId="172" formatCode="#,##0.0"/>
    <numFmt numFmtId="173" formatCode="&quot;$&quot;#,##0.000"/>
    <numFmt numFmtId="174" formatCode="&quot;$&quot;#,##0.00"/>
    <numFmt numFmtId="175" formatCode="_(* #,##0_);_(* \(#,##0\);_(* &quot;-&quot;??_);_(@_)"/>
    <numFmt numFmtId="176" formatCode="_(&quot;$&quot;* #,##0_);_(&quot;$&quot;* \(#,##0\);_(&quot;$&quot;* &quot;-&quot;??_);_(@_)"/>
    <numFmt numFmtId="177" formatCode="0.000000%"/>
    <numFmt numFmtId="178" formatCode="_(* #,##0.000_);_(* \(#,##0.000\);_(* &quot;-&quot;??_);_(@_)"/>
    <numFmt numFmtId="179" formatCode="0.0000%"/>
    <numFmt numFmtId="180" formatCode="_(* #,##0.0000_);_(* \(#,##0.0000\);_(* &quot;-&quot;??_);_(@_)"/>
    <numFmt numFmtId="181" formatCode="#,##0.0_);\(#,##0.0\)"/>
    <numFmt numFmtId="182" formatCode="#,##0.0\ ;\(#,##0.0\)"/>
    <numFmt numFmtId="183" formatCode="#,##0_);[Red]\(#,##0\);&quot;-&quot;"/>
    <numFmt numFmtId="184" formatCode="_-* #,##0_-;\-* #,##0_-;_-* &quot;-&quot;_-;_-@_-"/>
    <numFmt numFmtId="185" formatCode="_-* #,##0.00_-;\-* #,##0.00_-;_-* &quot;-&quot;??_-;_-@_-"/>
    <numFmt numFmtId="186" formatCode="_(* #,##0_);_(* \(#,##0\);_(* &quot;0&quot;_);_(@_)"/>
    <numFmt numFmtId="187" formatCode="&quot;$&quot;_(#,##0.00_);&quot;$&quot;\(#,##0.00\)"/>
    <numFmt numFmtId="188" formatCode="_-&quot;$&quot;* #,##0.0_-;\-&quot;$&quot;* #,##0.0_-;_-&quot;$&quot;* &quot;-&quot;??_-;_-@_-"/>
    <numFmt numFmtId="189" formatCode="#,##0.0_)\x;\(#,##0.0\)\x"/>
    <numFmt numFmtId="190" formatCode="#,##0.0_)_x;\(#,##0.0\)_x"/>
    <numFmt numFmtId="191" formatCode="0.0_)\%;\(0.0\)\%"/>
    <numFmt numFmtId="192" formatCode="_-* #,##0.000_-;\-* #,##0.000_-;_-* &quot;-&quot;??_-;_-@_-"/>
    <numFmt numFmtId="193" formatCode="#,##0.0_)_%;\(#,##0.0\)_%"/>
    <numFmt numFmtId="194" formatCode="_(&quot;$&quot;* #,##0.0_);_(&quot;$&quot;* \(#,##0.0\);_(&quot;$&quot;* &quot;-&quot;?_);_(@_)"/>
    <numFmt numFmtId="195" formatCode="\£\ #,##0_);[Red]\(\£\ #,##0\)"/>
    <numFmt numFmtId="196" formatCode="#,##0.00;[Red]\(#,##0.00\);\-"/>
    <numFmt numFmtId="197" formatCode="\¥\ #,##0_);[Red]\(\¥\ #,##0\)"/>
    <numFmt numFmtId="198" formatCode="#,##0;\(#,##0\)"/>
    <numFmt numFmtId="199" formatCode="0;[Red]\(0\);\-"/>
    <numFmt numFmtId="200" formatCode="#,##0;[Red]\(#,##0\);\-"/>
    <numFmt numFmtId="201" formatCode="0.0;\(0.0\);\-"/>
    <numFmt numFmtId="202" formatCode="0.00;\(0.00\);\-"/>
    <numFmt numFmtId="203" formatCode="0.00;[Red]\(0.00\);\-"/>
    <numFmt numFmtId="204" formatCode="0.000;\(0.000\);\-"/>
    <numFmt numFmtId="205" formatCode="m\-d\-yy"/>
    <numFmt numFmtId="206" formatCode="_ &quot;R&quot;\ * #,##0_ ;_ &quot;R&quot;\ * \-#,##0_ ;_ &quot;R&quot;\ * &quot;-&quot;_ ;_ @_ "/>
    <numFmt numFmtId="207" formatCode="dd/mm/yyyy"/>
    <numFmt numFmtId="208" formatCode="#,##0_-;\(#,##0\);&quot;-&quot;"/>
    <numFmt numFmtId="209" formatCode="0.0\ \x;\(0.0\)\x;&quot;-&quot;"/>
    <numFmt numFmtId="210" formatCode="0.0%;\(0.0\)%"/>
    <numFmt numFmtId="211" formatCode="\•\ \ @"/>
    <numFmt numFmtId="212" formatCode="_-* #,##0_-;* \(#,##0\)_-;_-@_-"/>
    <numFmt numFmtId="213" formatCode="0.000_)"/>
    <numFmt numFmtId="214" formatCode="#,##0.0;[Red]\(#,##0.0\);\-"/>
    <numFmt numFmtId="215" formatCode="#,##0.000;[Red]\(#,##0.000\);\-"/>
    <numFmt numFmtId="216" formatCode="#,##0_%_);\(#,##0\)_%;**;@_%_)"/>
    <numFmt numFmtId="217" formatCode="0.0_x_)_);&quot;NM&quot;_x_)_);0.0_x_)_);@_%_)"/>
    <numFmt numFmtId="218" formatCode="0.0\ \x;\(0.0\ \x\)"/>
    <numFmt numFmtId="219" formatCode="0.0_ ;\(0.0\)_ \ "/>
    <numFmt numFmtId="220" formatCode="General_)"/>
    <numFmt numFmtId="221" formatCode="m/d"/>
    <numFmt numFmtId="222" formatCode="0.0\ \ \x\ ;\(0.0\)\ \ \x\ "/>
    <numFmt numFmtId="223" formatCode="\ \ _•\–\ \ \ \ @"/>
    <numFmt numFmtId="224" formatCode="&quot;$&quot;#,##0.0;[Red]&quot;$&quot;#,##0.0"/>
    <numFmt numFmtId="225" formatCode="d\-mmm\-yyyy"/>
    <numFmt numFmtId="226" formatCode="0.00,,;[Red]\(0.00,,\);\-"/>
    <numFmt numFmtId="227" formatCode="_-[$€-2]* #,##0.00_-;\-[$€-2]* #,##0.00_-;_-[$€-2]* &quot;-&quot;??_-"/>
    <numFmt numFmtId="228" formatCode="[Magenta]&quot;Err&quot;;[Magenta]&quot;Err&quot;;[Blue]&quot;OK&quot;"/>
    <numFmt numFmtId="229" formatCode="General\ &quot;.&quot;"/>
    <numFmt numFmtId="230" formatCode="#,##0_);[Red]\(#,##0\);\-_)"/>
    <numFmt numFmtId="231" formatCode="0.0_)%;[Red]\(0.0%\);0.0_)%"/>
    <numFmt numFmtId="232" formatCode="[Red][&gt;1]&quot;&gt;100 %&quot;;[Red]\(0.0%\);0.0_)%"/>
    <numFmt numFmtId="233" formatCode="0.00_)"/>
    <numFmt numFmtId="234" formatCode="_-* #,##0_-;\-* #,##0_-;_-* &quot;-&quot;??_-;_-@_-"/>
    <numFmt numFmtId="235" formatCode="0.0\x"/>
    <numFmt numFmtId="236" formatCode="0.0\ \x"/>
    <numFmt numFmtId="237" formatCode="0%_);\(0%\);0%_);@_%_)"/>
    <numFmt numFmtId="238" formatCode="[Blue]#,##0;[Red]\(#,##0\);\-"/>
    <numFmt numFmtId="239" formatCode="[Blue]#,##0.0;[Red]\(#,##0.0\);\-"/>
    <numFmt numFmtId="240" formatCode="[Blue]#,##0.00;[Red]\(#,##0.00\);\-"/>
    <numFmt numFmtId="241" formatCode="[Blue]#,##0.000;[Red]\(#,##0.000\);\-"/>
    <numFmt numFmtId="242" formatCode="#,##0.000_-;\(#,##0.000\);&quot;-&quot;"/>
    <numFmt numFmtId="243" formatCode="0.00%;[Red]\(0.00%\);\-"/>
    <numFmt numFmtId="244" formatCode="_-* #,##0.00%_-;* \(#,##0.00\)%_-;_-@_-"/>
    <numFmt numFmtId="245" formatCode="0.0\ \x\ ;\(0.0\)\ \x\ "/>
    <numFmt numFmtId="246" formatCode="0.0%;\(0.0%\);\-"/>
    <numFmt numFmtId="247" formatCode="0.00%;\(0.00%\);\-"/>
    <numFmt numFmtId="248" formatCode="000\-00\-0000\ "/>
    <numFmt numFmtId="249" formatCode="0____"/>
    <numFmt numFmtId="250" formatCode="_-&quot;£&quot;* #,##0_-;\-&quot;£&quot;* #,##0_-;_-&quot;£&quot;* &quot;-&quot;_-;_-@_-"/>
    <numFmt numFmtId="251" formatCode="_-&quot;£&quot;* #,##0.00_-;\-&quot;£&quot;* #,##0.00_-;_-&quot;£&quot;* &quot;-&quot;??_-;_-@_-"/>
    <numFmt numFmtId="252" formatCode="_(* #,##0.00000_);_(* \(#,##0.00000\);_(* &quot;-&quot;??_);_(@_)"/>
  </numFmts>
  <fonts count="172">
    <font>
      <sz val="12"/>
      <name val="Arial MT"/>
    </font>
    <font>
      <sz val="11"/>
      <color theme="1"/>
      <name val="Calibri"/>
      <family val="2"/>
      <scheme val="minor"/>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8"/>
      <name val="Arial"/>
      <family val="2"/>
    </font>
    <font>
      <b/>
      <sz val="12"/>
      <name val="Arial"/>
      <family val="2"/>
    </font>
    <font>
      <b/>
      <sz val="14"/>
      <name val="Book Antiqua"/>
      <family val="1"/>
    </font>
    <font>
      <i/>
      <sz val="10"/>
      <name val="Book Antiqua"/>
      <family val="1"/>
    </font>
    <font>
      <sz val="12"/>
      <name val="Arial MT"/>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sz val="12"/>
      <color indexed="12"/>
      <name val="Arial"/>
      <family val="2"/>
    </font>
    <font>
      <sz val="12"/>
      <color indexed="12"/>
      <name val="Arial MT"/>
    </font>
    <font>
      <sz val="12"/>
      <color indexed="17"/>
      <name val="Arial MT"/>
    </font>
    <font>
      <b/>
      <u/>
      <sz val="12"/>
      <name val="Arial"/>
      <family val="2"/>
    </font>
    <font>
      <sz val="10"/>
      <name val="Arial MT"/>
    </font>
    <font>
      <sz val="14"/>
      <name val="Arial MT"/>
    </font>
    <font>
      <sz val="12"/>
      <name val="Times New Roman"/>
      <family val="1"/>
    </font>
    <font>
      <sz val="14"/>
      <name val="Times New Roman"/>
      <family val="1"/>
    </font>
    <font>
      <strike/>
      <sz val="12"/>
      <color indexed="10"/>
      <name val="Arial"/>
      <family val="2"/>
    </font>
    <font>
      <strike/>
      <sz val="12"/>
      <color indexed="10"/>
      <name val="Arial MT"/>
    </font>
    <font>
      <sz val="10"/>
      <name val="Arial Narrow"/>
      <family val="2"/>
    </font>
    <font>
      <b/>
      <sz val="12"/>
      <name val="Arial Narrow"/>
      <family val="2"/>
    </font>
    <font>
      <sz val="12"/>
      <name val="Arial Narrow"/>
      <family val="2"/>
    </font>
    <font>
      <b/>
      <sz val="12"/>
      <color indexed="10"/>
      <name val="Arial Narrow"/>
      <family val="2"/>
    </font>
    <font>
      <b/>
      <sz val="10"/>
      <name val="Arial Narrow"/>
      <family val="2"/>
    </font>
    <font>
      <b/>
      <sz val="10"/>
      <color indexed="10"/>
      <name val="Arial"/>
      <family val="2"/>
    </font>
    <font>
      <sz val="10"/>
      <color indexed="10"/>
      <name val="Arial"/>
      <family val="2"/>
    </font>
    <font>
      <sz val="10"/>
      <color indexed="12"/>
      <name val="Arial"/>
      <family val="2"/>
    </font>
    <font>
      <b/>
      <sz val="10"/>
      <color indexed="8"/>
      <name val="Arial"/>
      <family val="2"/>
    </font>
    <font>
      <b/>
      <u/>
      <sz val="12"/>
      <name val="Arial Narrow"/>
      <family val="2"/>
    </font>
    <font>
      <sz val="16"/>
      <name val="Arial"/>
      <family val="2"/>
    </font>
    <font>
      <sz val="10"/>
      <name val="Arial"/>
      <family val="2"/>
    </font>
    <font>
      <sz val="12"/>
      <name val="Arial"/>
      <family val="2"/>
    </font>
    <font>
      <sz val="8"/>
      <name val="Arial MT"/>
    </font>
    <font>
      <b/>
      <sz val="14"/>
      <name val="Arial Narrow"/>
      <family val="2"/>
    </font>
    <font>
      <sz val="10"/>
      <name val="Times New Roman"/>
      <family val="1"/>
    </font>
    <font>
      <sz val="14"/>
      <name val="Arial"/>
      <family val="2"/>
    </font>
    <font>
      <b/>
      <sz val="12"/>
      <name val="Times New Roman"/>
      <family val="1"/>
    </font>
    <font>
      <sz val="14"/>
      <name val="Arial Narrow"/>
      <family val="2"/>
    </font>
    <font>
      <sz val="11"/>
      <name val="Arial Narrow"/>
      <family val="2"/>
    </font>
    <font>
      <sz val="12"/>
      <color indexed="10"/>
      <name val="Arial Narrow"/>
      <family val="2"/>
    </font>
    <font>
      <sz val="12"/>
      <color indexed="12"/>
      <name val="Arial Narrow"/>
      <family val="2"/>
    </font>
    <font>
      <b/>
      <sz val="10"/>
      <name val="Times New Roman"/>
      <family val="1"/>
    </font>
    <font>
      <sz val="10"/>
      <name val="Arial"/>
      <family val="2"/>
    </font>
    <font>
      <sz val="12"/>
      <name val="Times New Roman"/>
      <family val="1"/>
    </font>
    <font>
      <sz val="9"/>
      <name val="Times"/>
      <family val="1"/>
    </font>
    <font>
      <sz val="10"/>
      <name val="Helv"/>
      <charset val="204"/>
    </font>
    <font>
      <b/>
      <sz val="10"/>
      <color indexed="18"/>
      <name val="Arial"/>
      <family val="2"/>
    </font>
    <font>
      <b/>
      <u val="singleAccounting"/>
      <sz val="10"/>
      <color indexed="18"/>
      <name val="Arial"/>
      <family val="2"/>
    </font>
    <font>
      <sz val="10"/>
      <color indexed="12"/>
      <name val="Tms Rmn"/>
    </font>
    <font>
      <b/>
      <sz val="10"/>
      <color indexed="12"/>
      <name val="Tms Rmn"/>
    </font>
    <font>
      <sz val="10"/>
      <name val="Tms Rmn"/>
    </font>
    <font>
      <sz val="11"/>
      <color indexed="8"/>
      <name val="Calibri"/>
      <family val="2"/>
    </font>
    <font>
      <sz val="11"/>
      <color indexed="9"/>
      <name val="Calibri"/>
      <family val="2"/>
    </font>
    <font>
      <b/>
      <sz val="10"/>
      <name val="Arial"/>
      <family val="2"/>
    </font>
    <font>
      <sz val="10"/>
      <name val="Times New Roman"/>
      <family val="1"/>
    </font>
    <font>
      <sz val="11"/>
      <name val="Times New Roman"/>
      <family val="1"/>
    </font>
    <font>
      <sz val="12"/>
      <name val="Tms Rmn"/>
    </font>
    <font>
      <b/>
      <sz val="10"/>
      <color indexed="8"/>
      <name val="Times New Roman"/>
      <family val="1"/>
    </font>
    <font>
      <sz val="12"/>
      <name val="±¼¸²Ã¼"/>
      <charset val="129"/>
    </font>
    <font>
      <sz val="8"/>
      <name val="Palatino"/>
      <family val="1"/>
    </font>
    <font>
      <sz val="10"/>
      <name val="MS Serif"/>
      <family val="1"/>
    </font>
    <font>
      <sz val="10"/>
      <name val="Helv"/>
    </font>
    <font>
      <b/>
      <sz val="11"/>
      <color indexed="8"/>
      <name val="Calibri"/>
      <family val="2"/>
    </font>
    <font>
      <sz val="10"/>
      <color indexed="16"/>
      <name val="MS Serif"/>
      <family val="1"/>
    </font>
    <font>
      <sz val="8"/>
      <name val="Arial"/>
      <family val="2"/>
    </font>
    <font>
      <sz val="9"/>
      <color indexed="12"/>
      <name val="Arial"/>
      <family val="2"/>
    </font>
    <font>
      <b/>
      <sz val="8"/>
      <color indexed="12"/>
      <name val="Arial"/>
      <family val="2"/>
    </font>
    <font>
      <sz val="10"/>
      <color indexed="8"/>
      <name val="Arial"/>
      <family val="2"/>
    </font>
    <font>
      <b/>
      <sz val="12"/>
      <color indexed="8"/>
      <name val="Arial"/>
      <family val="2"/>
    </font>
    <font>
      <b/>
      <sz val="10.5"/>
      <color indexed="8"/>
      <name val="Arial"/>
      <family val="2"/>
    </font>
    <font>
      <i/>
      <sz val="10"/>
      <color indexed="8"/>
      <name val="Arial"/>
      <family val="2"/>
    </font>
    <font>
      <b/>
      <i/>
      <sz val="14"/>
      <name val="Tms Rmn"/>
    </font>
    <font>
      <sz val="7"/>
      <name val="Palatino"/>
      <family val="1"/>
    </font>
    <font>
      <b/>
      <i/>
      <sz val="10"/>
      <color indexed="16"/>
      <name val="Arial"/>
      <family val="2"/>
    </font>
    <font>
      <sz val="10"/>
      <color indexed="62"/>
      <name val="Arial"/>
      <family val="2"/>
    </font>
    <font>
      <sz val="6"/>
      <color indexed="16"/>
      <name val="Palatino"/>
      <family val="1"/>
    </font>
    <font>
      <b/>
      <sz val="10"/>
      <color indexed="16"/>
      <name val="Arial"/>
      <family val="2"/>
    </font>
    <font>
      <u/>
      <sz val="11"/>
      <color indexed="48"/>
      <name val="CG Omega"/>
      <family val="2"/>
    </font>
    <font>
      <sz val="10"/>
      <color indexed="20"/>
      <name val="Arial"/>
      <family val="2"/>
    </font>
    <font>
      <b/>
      <sz val="15"/>
      <name val="Times"/>
      <family val="1"/>
    </font>
    <font>
      <b/>
      <sz val="11"/>
      <name val="Helv"/>
    </font>
    <font>
      <sz val="7"/>
      <name val="Small Fonts"/>
      <family val="2"/>
    </font>
    <font>
      <sz val="10"/>
      <name val="Palatino"/>
      <family val="1"/>
    </font>
    <font>
      <b/>
      <i/>
      <sz val="10"/>
      <color indexed="8"/>
      <name val="Arial"/>
      <family val="2"/>
    </font>
    <font>
      <b/>
      <sz val="10"/>
      <color indexed="9"/>
      <name val="Arial"/>
      <family val="2"/>
    </font>
    <font>
      <b/>
      <sz val="10"/>
      <color indexed="17"/>
      <name val="Arial"/>
      <family val="2"/>
    </font>
    <font>
      <b/>
      <sz val="10"/>
      <color indexed="13"/>
      <name val="Arial"/>
      <family val="2"/>
    </font>
    <font>
      <sz val="10"/>
      <color indexed="16"/>
      <name val="Helvetica-Black"/>
      <family val="2"/>
    </font>
    <font>
      <i/>
      <sz val="10"/>
      <color indexed="10"/>
      <name val="Arial"/>
      <family val="2"/>
    </font>
    <font>
      <sz val="8"/>
      <name val="Helv"/>
    </font>
    <font>
      <sz val="10"/>
      <color indexed="8"/>
      <name val="Times New Roman"/>
      <family val="1"/>
    </font>
    <font>
      <sz val="9.5"/>
      <color indexed="23"/>
      <name val="Helvetica-Black"/>
      <family val="2"/>
    </font>
    <font>
      <b/>
      <sz val="12"/>
      <color indexed="8"/>
      <name val="Arial"/>
      <family val="2"/>
    </font>
    <font>
      <b/>
      <i/>
      <sz val="12"/>
      <color indexed="8"/>
      <name val="Arial"/>
      <family val="2"/>
    </font>
    <font>
      <sz val="12"/>
      <color indexed="8"/>
      <name val="Arial"/>
      <family val="2"/>
    </font>
    <font>
      <b/>
      <sz val="8"/>
      <color indexed="8"/>
      <name val="Arial"/>
      <family val="2"/>
    </font>
    <font>
      <sz val="10"/>
      <color indexed="8"/>
      <name val="Arial"/>
      <family val="2"/>
    </font>
    <font>
      <b/>
      <sz val="8"/>
      <name val="Arial"/>
      <family val="2"/>
    </font>
    <font>
      <i/>
      <sz val="12"/>
      <color indexed="8"/>
      <name val="Arial"/>
      <family val="2"/>
    </font>
    <font>
      <sz val="8"/>
      <color indexed="8"/>
      <name val="Arial"/>
      <family val="2"/>
    </font>
    <font>
      <sz val="19"/>
      <color indexed="48"/>
      <name val="Arial"/>
      <family val="2"/>
    </font>
    <font>
      <sz val="12"/>
      <color indexed="14"/>
      <name val="Arial"/>
      <family val="2"/>
    </font>
    <font>
      <b/>
      <sz val="20"/>
      <name val="Times New Roman"/>
      <family val="1"/>
    </font>
    <font>
      <sz val="10"/>
      <name val="Geneva"/>
      <family val="2"/>
    </font>
    <font>
      <b/>
      <sz val="18"/>
      <color indexed="62"/>
      <name val="Cambria"/>
      <family val="2"/>
    </font>
    <font>
      <sz val="10"/>
      <name val="MS Sans Serif"/>
      <family val="2"/>
    </font>
    <font>
      <sz val="10"/>
      <name val="Times"/>
      <family val="1"/>
    </font>
    <font>
      <b/>
      <sz val="14"/>
      <color indexed="13"/>
      <name val="Helv"/>
    </font>
    <font>
      <b/>
      <sz val="10"/>
      <name val="Times"/>
      <family val="1"/>
    </font>
    <font>
      <b/>
      <sz val="8"/>
      <color indexed="8"/>
      <name val="Helv"/>
    </font>
    <font>
      <sz val="9"/>
      <name val="NewsGoth Lt BT"/>
      <family val="2"/>
    </font>
    <font>
      <b/>
      <sz val="9"/>
      <name val="Palatino"/>
      <family val="1"/>
    </font>
    <font>
      <sz val="9"/>
      <color indexed="21"/>
      <name val="Helvetica-Black"/>
      <family val="2"/>
    </font>
    <font>
      <b/>
      <sz val="10"/>
      <name val="Palatino"/>
      <family val="1"/>
    </font>
    <font>
      <sz val="9"/>
      <name val="Helvetica-Black"/>
      <family val="2"/>
    </font>
    <font>
      <sz val="12"/>
      <color indexed="8"/>
      <name val="Palatino"/>
      <family val="1"/>
    </font>
    <font>
      <sz val="11"/>
      <color indexed="8"/>
      <name val="Helvetica-Black"/>
      <family val="2"/>
    </font>
    <font>
      <u/>
      <sz val="8"/>
      <color indexed="8"/>
      <name val="Arial"/>
      <family val="2"/>
    </font>
    <font>
      <sz val="8"/>
      <color indexed="12"/>
      <name val="Arial"/>
      <family val="2"/>
    </font>
    <font>
      <sz val="10"/>
      <name val="Corporate Mono"/>
    </font>
    <font>
      <b/>
      <sz val="16"/>
      <name val="Arial"/>
      <family val="2"/>
    </font>
    <font>
      <sz val="10"/>
      <color indexed="40"/>
      <name val="Times New Roman"/>
      <family val="1"/>
    </font>
    <font>
      <sz val="14"/>
      <color indexed="17"/>
      <name val="Arial"/>
      <family val="2"/>
    </font>
    <font>
      <sz val="14"/>
      <name val="Helv"/>
    </font>
    <font>
      <u/>
      <sz val="12"/>
      <name val="Arial Narrow"/>
      <family val="2"/>
    </font>
    <font>
      <b/>
      <sz val="12"/>
      <name val="Calibri"/>
      <family val="2"/>
    </font>
    <font>
      <sz val="11"/>
      <color theme="1"/>
      <name val="Calibri"/>
      <family val="2"/>
      <scheme val="minor"/>
    </font>
    <font>
      <sz val="11"/>
      <name val="Calibri"/>
      <family val="2"/>
      <scheme val="minor"/>
    </font>
    <font>
      <b/>
      <sz val="10"/>
      <color rgb="FFFF0000"/>
      <name val="Arial"/>
      <family val="2"/>
    </font>
    <font>
      <sz val="11"/>
      <color rgb="FF1F497D"/>
      <name val="Calibri"/>
      <family val="2"/>
    </font>
    <font>
      <sz val="14"/>
      <color rgb="FFFF0000"/>
      <name val="Arial Narrow"/>
      <family val="2"/>
    </font>
    <font>
      <b/>
      <sz val="12"/>
      <color rgb="FF7030A0"/>
      <name val="Arial"/>
      <family val="2"/>
    </font>
    <font>
      <b/>
      <sz val="14"/>
      <color rgb="FF7030A0"/>
      <name val="Arial"/>
      <family val="2"/>
    </font>
    <font>
      <sz val="10"/>
      <color rgb="FF7030A0"/>
      <name val="Arial"/>
      <family val="2"/>
    </font>
    <font>
      <b/>
      <sz val="14"/>
      <color rgb="FF7030A0"/>
      <name val="Arial Narrow"/>
      <family val="2"/>
    </font>
    <font>
      <sz val="12"/>
      <color theme="1"/>
      <name val="Times New Roman"/>
      <family val="1"/>
    </font>
    <font>
      <sz val="8"/>
      <color theme="1"/>
      <name val="Arial"/>
      <family val="2"/>
    </font>
    <font>
      <sz val="16"/>
      <name val="Arial Narrow"/>
      <family val="2"/>
    </font>
    <font>
      <sz val="16"/>
      <name val="Arial MT"/>
    </font>
    <font>
      <u/>
      <sz val="12"/>
      <name val="Arial"/>
      <family val="2"/>
    </font>
    <font>
      <sz val="12"/>
      <color theme="1"/>
      <name val="Arial"/>
      <family val="2"/>
    </font>
    <font>
      <sz val="12"/>
      <color rgb="FF000000"/>
      <name val="Arial"/>
      <family val="2"/>
    </font>
    <font>
      <b/>
      <sz val="12"/>
      <color rgb="FF000000"/>
      <name val="Arial"/>
      <family val="2"/>
    </font>
    <font>
      <u val="singleAccounting"/>
      <sz val="12"/>
      <name val="Arial"/>
      <family val="2"/>
    </font>
    <font>
      <sz val="11"/>
      <color theme="1"/>
      <name val="Arial"/>
      <family val="2"/>
    </font>
    <font>
      <b/>
      <sz val="12"/>
      <name val="Arial MT"/>
    </font>
    <font>
      <b/>
      <sz val="12"/>
      <color theme="1"/>
      <name val="Arial"/>
      <family val="2"/>
    </font>
  </fonts>
  <fills count="67">
    <fill>
      <patternFill patternType="none"/>
    </fill>
    <fill>
      <patternFill patternType="gray125"/>
    </fill>
    <fill>
      <patternFill patternType="solid">
        <fgColor indexed="45"/>
      </patternFill>
    </fill>
    <fill>
      <patternFill patternType="solid">
        <fgColor indexed="44"/>
      </patternFill>
    </fill>
    <fill>
      <patternFill patternType="solid">
        <fgColor indexed="11"/>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22"/>
      </patternFill>
    </fill>
    <fill>
      <patternFill patternType="solid">
        <fgColor indexed="55"/>
      </patternFill>
    </fill>
    <fill>
      <patternFill patternType="solid">
        <fgColor indexed="15"/>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3"/>
      </patternFill>
    </fill>
    <fill>
      <patternFill patternType="solid">
        <fgColor indexed="14"/>
        <bgColor indexed="64"/>
      </patternFill>
    </fill>
    <fill>
      <patternFill patternType="solid">
        <fgColor indexed="26"/>
        <bgColor indexed="64"/>
      </patternFill>
    </fill>
    <fill>
      <patternFill patternType="solid">
        <fgColor indexed="26"/>
      </patternFill>
    </fill>
    <fill>
      <patternFill patternType="solid">
        <fgColor indexed="29"/>
        <bgColor indexed="64"/>
      </patternFill>
    </fill>
    <fill>
      <patternFill patternType="solid">
        <fgColor indexed="9"/>
      </patternFill>
    </fill>
    <fill>
      <patternFill patternType="solid">
        <fgColor indexed="13"/>
      </patternFill>
    </fill>
    <fill>
      <patternFill patternType="solid">
        <fgColor indexed="17"/>
      </patternFill>
    </fill>
    <fill>
      <patternFill patternType="lightGray">
        <fgColor indexed="38"/>
        <bgColor indexed="23"/>
      </patternFill>
    </fill>
    <fill>
      <patternFill patternType="mediumGray">
        <fgColor indexed="22"/>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lightUp">
        <fgColor indexed="48"/>
        <bgColor indexed="44"/>
      </patternFill>
    </fill>
    <fill>
      <patternFill patternType="solid">
        <fgColor indexed="54"/>
      </patternFill>
    </fill>
    <fill>
      <patternFill patternType="solid">
        <fgColor indexed="23"/>
      </patternFill>
    </fill>
    <fill>
      <patternFill patternType="solid">
        <fgColor indexed="40"/>
      </patternFill>
    </fill>
    <fill>
      <patternFill patternType="solid">
        <fgColor indexed="41"/>
      </patternFill>
    </fill>
    <fill>
      <patternFill patternType="solid">
        <fgColor indexed="41"/>
        <bgColor indexed="64"/>
      </patternFill>
    </fill>
    <fill>
      <patternFill patternType="solid">
        <fgColor indexed="40"/>
        <bgColor indexed="64"/>
      </patternFill>
    </fill>
    <fill>
      <patternFill patternType="solid">
        <fgColor indexed="20"/>
      </patternFill>
    </fill>
    <fill>
      <patternFill patternType="solid">
        <fgColor indexed="13"/>
        <bgColor indexed="64"/>
      </patternFill>
    </fill>
    <fill>
      <patternFill patternType="solid">
        <fgColor indexed="26"/>
        <bgColor indexed="9"/>
      </patternFill>
    </fill>
    <fill>
      <patternFill patternType="lightGray"/>
    </fill>
    <fill>
      <patternFill patternType="solid">
        <fgColor indexed="58"/>
        <bgColor indexed="64"/>
      </patternFill>
    </fill>
    <fill>
      <patternFill patternType="solid">
        <fgColor indexed="16"/>
        <bgColor indexed="64"/>
      </patternFill>
    </fill>
    <fill>
      <patternFill patternType="solid">
        <fgColor indexed="8"/>
        <bgColor indexed="64"/>
      </patternFill>
    </fill>
    <fill>
      <patternFill patternType="solid">
        <fgColor rgb="FF66CCFF"/>
        <bgColor indexed="64"/>
      </patternFill>
    </fill>
    <fill>
      <patternFill patternType="solid">
        <fgColor rgb="FFFFFF00"/>
        <bgColor indexed="64"/>
      </patternFill>
    </fill>
    <fill>
      <patternFill patternType="solid">
        <fgColor rgb="FFFFFF99"/>
        <bgColor indexed="64"/>
      </patternFill>
    </fill>
    <fill>
      <patternFill patternType="solid">
        <fgColor rgb="FFFFC000"/>
        <bgColor indexed="64"/>
      </patternFill>
    </fill>
    <fill>
      <patternFill patternType="solid">
        <fgColor rgb="FFFFFFCC"/>
        <bgColor indexed="64"/>
      </patternFill>
    </fill>
  </fills>
  <borders count="69">
    <border>
      <left/>
      <right/>
      <top/>
      <bottom/>
      <diagonal/>
    </border>
    <border>
      <left style="double">
        <color indexed="64"/>
      </left>
      <right/>
      <top/>
      <bottom style="hair">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double">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dotted">
        <color indexed="64"/>
      </bottom>
      <diagonal/>
    </border>
    <border>
      <left/>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8"/>
      </top>
      <bottom style="thin">
        <color indexed="8"/>
      </bottom>
      <diagonal/>
    </border>
    <border>
      <left/>
      <right/>
      <top style="thin">
        <color indexed="8"/>
      </top>
      <bottom style="double">
        <color indexed="8"/>
      </bottom>
      <diagonal/>
    </border>
    <border>
      <left/>
      <right/>
      <top style="medium">
        <color indexed="64"/>
      </top>
      <bottom style="medium">
        <color indexed="64"/>
      </bottom>
      <diagonal/>
    </border>
    <border>
      <left/>
      <right/>
      <top/>
      <bottom style="medium">
        <color indexed="64"/>
      </bottom>
      <diagonal/>
    </border>
    <border>
      <left style="double">
        <color indexed="64"/>
      </left>
      <right style="double">
        <color indexed="64"/>
      </right>
      <top style="double">
        <color indexed="64"/>
      </top>
      <bottom style="double">
        <color indexed="64"/>
      </bottom>
      <diagonal/>
    </border>
    <border>
      <left/>
      <right/>
      <top/>
      <bottom style="hair">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right/>
      <top/>
      <bottom style="thin">
        <color indexed="8"/>
      </bottom>
      <diagonal/>
    </border>
    <border>
      <left/>
      <right/>
      <top style="medium">
        <color indexed="23"/>
      </top>
      <bottom style="medium">
        <color indexed="2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18"/>
      </left>
      <right style="thin">
        <color indexed="18"/>
      </right>
      <top style="thin">
        <color indexed="18"/>
      </top>
      <bottom style="thin">
        <color indexed="1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48"/>
      </top>
      <bottom style="thin">
        <color indexed="48"/>
      </bottom>
      <diagonal/>
    </border>
    <border>
      <left/>
      <right/>
      <top style="hair">
        <color indexed="22"/>
      </top>
      <bottom/>
      <diagonal/>
    </border>
    <border>
      <left style="thin">
        <color indexed="64"/>
      </left>
      <right/>
      <top/>
      <bottom/>
      <diagonal/>
    </border>
    <border>
      <left/>
      <right/>
      <top style="thin">
        <color indexed="64"/>
      </top>
      <bottom style="double">
        <color indexed="64"/>
      </bottom>
      <diagonal/>
    </border>
    <border>
      <left/>
      <right style="medium">
        <color indexed="64"/>
      </right>
      <top/>
      <bottom/>
      <diagonal/>
    </border>
    <border>
      <left/>
      <right/>
      <top/>
      <bottom style="double">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64"/>
      </bottom>
      <diagonal/>
    </border>
    <border>
      <left style="thin">
        <color indexed="22"/>
      </left>
      <right style="thin">
        <color indexed="22"/>
      </right>
      <top style="thin">
        <color indexed="22"/>
      </top>
      <bottom/>
      <diagonal/>
    </border>
    <border>
      <left style="thin">
        <color indexed="22"/>
      </left>
      <right style="medium">
        <color indexed="64"/>
      </right>
      <top/>
      <bottom/>
      <diagonal/>
    </border>
    <border>
      <left style="thin">
        <color indexed="22"/>
      </left>
      <right/>
      <top style="thin">
        <color indexed="22"/>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29">
    <xf numFmtId="174" fontId="0" fillId="0" borderId="0" applyProtection="0"/>
    <xf numFmtId="182" fontId="12" fillId="0" borderId="0"/>
    <xf numFmtId="183" fontId="4" fillId="0" borderId="0"/>
    <xf numFmtId="182" fontId="12" fillId="0" borderId="0"/>
    <xf numFmtId="183" fontId="4" fillId="0" borderId="0"/>
    <xf numFmtId="0" fontId="67" fillId="0" borderId="0"/>
    <xf numFmtId="184" fontId="4" fillId="0" borderId="0" applyFont="0" applyFill="0" applyBorder="0" applyAlignment="0" applyProtection="0"/>
    <xf numFmtId="0" fontId="68" fillId="0" borderId="0" applyNumberFormat="0" applyFill="0" applyBorder="0" applyAlignment="0" applyProtection="0">
      <alignment vertical="top"/>
      <protection locked="0"/>
    </xf>
    <xf numFmtId="185" fontId="4" fillId="0" borderId="0" applyFont="0" applyFill="0" applyBorder="0" applyAlignment="0" applyProtection="0"/>
    <xf numFmtId="186" fontId="69" fillId="0" borderId="0">
      <alignment horizontal="right" vertical="center"/>
    </xf>
    <xf numFmtId="0" fontId="67" fillId="0" borderId="0"/>
    <xf numFmtId="0" fontId="67" fillId="0" borderId="0"/>
    <xf numFmtId="0" fontId="67" fillId="0" borderId="0" applyFont="0" applyFill="0" applyBorder="0" applyAlignment="0" applyProtection="0"/>
    <xf numFmtId="0" fontId="67" fillId="0" borderId="0"/>
    <xf numFmtId="0" fontId="70" fillId="0" borderId="0"/>
    <xf numFmtId="0" fontId="67" fillId="0" borderId="0"/>
    <xf numFmtId="181" fontId="67" fillId="0" borderId="0" applyFont="0" applyFill="0" applyBorder="0" applyAlignment="0" applyProtection="0"/>
    <xf numFmtId="0" fontId="12" fillId="0" borderId="0" applyFont="0" applyFill="0" applyBorder="0" applyAlignment="0" applyProtection="0"/>
    <xf numFmtId="181" fontId="67" fillId="0" borderId="0" applyFont="0" applyFill="0" applyBorder="0" applyAlignment="0" applyProtection="0"/>
    <xf numFmtId="187" fontId="67" fillId="0" borderId="0" applyFont="0" applyFill="0" applyBorder="0" applyAlignment="0" applyProtection="0"/>
    <xf numFmtId="0" fontId="12" fillId="0" borderId="0" applyFont="0" applyFill="0" applyBorder="0" applyAlignment="0" applyProtection="0"/>
    <xf numFmtId="188" fontId="4" fillId="0" borderId="0" applyFont="0" applyFill="0" applyBorder="0" applyAlignment="0" applyProtection="0"/>
    <xf numFmtId="187" fontId="67" fillId="0" borderId="0" applyFont="0" applyFill="0" applyBorder="0" applyAlignment="0" applyProtection="0"/>
    <xf numFmtId="188" fontId="4" fillId="0" borderId="0" applyFont="0" applyFill="0" applyBorder="0" applyAlignment="0" applyProtection="0"/>
    <xf numFmtId="39" fontId="67" fillId="0" borderId="0" applyFont="0" applyFill="0" applyBorder="0" applyAlignment="0" applyProtection="0"/>
    <xf numFmtId="0" fontId="12" fillId="0" borderId="0" applyFont="0" applyFill="0" applyBorder="0" applyAlignment="0" applyProtection="0"/>
    <xf numFmtId="39" fontId="67" fillId="0" borderId="0" applyFont="0" applyFill="0" applyBorder="0" applyAlignment="0" applyProtection="0"/>
    <xf numFmtId="0" fontId="67" fillId="0" borderId="0" applyFont="0" applyFill="0" applyBorder="0" applyAlignment="0" applyProtection="0"/>
    <xf numFmtId="189" fontId="67" fillId="0" borderId="0" applyFont="0" applyFill="0" applyBorder="0" applyAlignment="0" applyProtection="0"/>
    <xf numFmtId="0" fontId="12" fillId="0" borderId="0" applyFont="0" applyFill="0" applyBorder="0" applyAlignment="0" applyProtection="0"/>
    <xf numFmtId="170" fontId="4" fillId="0" borderId="0" applyFont="0" applyFill="0" applyBorder="0" applyAlignment="0" applyProtection="0"/>
    <xf numFmtId="189" fontId="67" fillId="0" borderId="0" applyFont="0" applyFill="0" applyBorder="0" applyAlignment="0" applyProtection="0"/>
    <xf numFmtId="170" fontId="4" fillId="0" borderId="0" applyFont="0" applyFill="0" applyBorder="0" applyAlignment="0" applyProtection="0"/>
    <xf numFmtId="190" fontId="67" fillId="0" borderId="0" applyFont="0" applyFill="0" applyBorder="0" applyAlignment="0" applyProtection="0"/>
    <xf numFmtId="0" fontId="12" fillId="0" borderId="0" applyFont="0" applyFill="0" applyBorder="0" applyAlignment="0" applyProtection="0"/>
    <xf numFmtId="176" fontId="4" fillId="0" borderId="0" applyFont="0" applyFill="0" applyBorder="0" applyAlignment="0" applyProtection="0"/>
    <xf numFmtId="190" fontId="67" fillId="0" borderId="0" applyFont="0" applyFill="0" applyBorder="0" applyAlignment="0" applyProtection="0"/>
    <xf numFmtId="176" fontId="4" fillId="0" borderId="0" applyFont="0" applyFill="0" applyBorder="0" applyAlignment="0" applyProtection="0"/>
    <xf numFmtId="0" fontId="70" fillId="0" borderId="0"/>
    <xf numFmtId="0" fontId="67" fillId="0" borderId="0"/>
    <xf numFmtId="0" fontId="67" fillId="0" borderId="0"/>
    <xf numFmtId="191" fontId="67" fillId="0" borderId="0" applyFont="0" applyFill="0" applyBorder="0" applyAlignment="0" applyProtection="0"/>
    <xf numFmtId="0" fontId="12" fillId="0" borderId="0" applyFont="0" applyFill="0" applyBorder="0" applyAlignment="0" applyProtection="0"/>
    <xf numFmtId="192" fontId="4" fillId="0" borderId="0" applyFont="0" applyFill="0" applyBorder="0" applyAlignment="0" applyProtection="0"/>
    <xf numFmtId="191" fontId="67" fillId="0" borderId="0" applyFont="0" applyFill="0" applyBorder="0" applyAlignment="0" applyProtection="0"/>
    <xf numFmtId="192" fontId="4" fillId="0" borderId="0" applyFont="0" applyFill="0" applyBorder="0" applyAlignment="0" applyProtection="0"/>
    <xf numFmtId="193" fontId="67" fillId="0" borderId="0" applyFont="0" applyFill="0" applyBorder="0" applyAlignment="0" applyProtection="0"/>
    <xf numFmtId="0" fontId="12" fillId="0" borderId="0" applyFont="0" applyFill="0" applyBorder="0" applyAlignment="0" applyProtection="0"/>
    <xf numFmtId="194" fontId="4" fillId="0" borderId="0" applyFont="0" applyFill="0" applyBorder="0" applyAlignment="0" applyProtection="0"/>
    <xf numFmtId="193" fontId="67" fillId="0" borderId="0" applyFont="0" applyFill="0" applyBorder="0" applyAlignment="0" applyProtection="0"/>
    <xf numFmtId="194" fontId="4" fillId="0" borderId="0" applyFont="0" applyFill="0" applyBorder="0" applyAlignment="0" applyProtection="0"/>
    <xf numFmtId="0" fontId="67" fillId="0" borderId="0"/>
    <xf numFmtId="0" fontId="71" fillId="0" borderId="0" applyNumberFormat="0" applyFill="0" applyBorder="0" applyProtection="0">
      <alignment horizontal="left"/>
    </xf>
    <xf numFmtId="0" fontId="72" fillId="0" borderId="0" applyNumberFormat="0" applyFill="0" applyBorder="0" applyProtection="0">
      <alignment horizontal="centerContinuous"/>
    </xf>
    <xf numFmtId="195" fontId="68" fillId="0" borderId="0" applyFont="0" applyFill="0" applyBorder="0" applyAlignment="0" applyProtection="0"/>
    <xf numFmtId="196" fontId="73" fillId="0" borderId="0"/>
    <xf numFmtId="197" fontId="68" fillId="0" borderId="0" applyFont="0" applyFill="0" applyBorder="0" applyAlignment="0" applyProtection="0"/>
    <xf numFmtId="0" fontId="67" fillId="0" borderId="0"/>
    <xf numFmtId="198" fontId="67" fillId="0" borderId="0" applyBorder="0"/>
    <xf numFmtId="0" fontId="67" fillId="0" borderId="0" applyBorder="0"/>
    <xf numFmtId="198" fontId="67" fillId="0" borderId="0" applyBorder="0"/>
    <xf numFmtId="199" fontId="73" fillId="0" borderId="0"/>
    <xf numFmtId="199" fontId="74" fillId="0" borderId="0"/>
    <xf numFmtId="200" fontId="73" fillId="0" borderId="0"/>
    <xf numFmtId="201" fontId="75" fillId="0" borderId="0"/>
    <xf numFmtId="0" fontId="74" fillId="0" borderId="0"/>
    <xf numFmtId="202" fontId="73" fillId="0" borderId="0"/>
    <xf numFmtId="203" fontId="74" fillId="0" borderId="0"/>
    <xf numFmtId="204" fontId="73" fillId="0" borderId="0"/>
    <xf numFmtId="0" fontId="76" fillId="5" borderId="0" applyNumberFormat="0" applyBorder="0" applyAlignment="0" applyProtection="0"/>
    <xf numFmtId="0" fontId="76" fillId="6" borderId="0" applyNumberFormat="0" applyBorder="0" applyAlignment="0" applyProtection="0"/>
    <xf numFmtId="0" fontId="77" fillId="7" borderId="0" applyNumberFormat="0" applyBorder="0" applyAlignment="0" applyProtection="0"/>
    <xf numFmtId="0" fontId="76" fillId="8" borderId="0" applyNumberFormat="0" applyBorder="0" applyAlignment="0" applyProtection="0"/>
    <xf numFmtId="0" fontId="76" fillId="9" borderId="0" applyNumberFormat="0" applyBorder="0" applyAlignment="0" applyProtection="0"/>
    <xf numFmtId="0" fontId="77" fillId="10" borderId="0" applyNumberFormat="0" applyBorder="0" applyAlignment="0" applyProtection="0"/>
    <xf numFmtId="0" fontId="76" fillId="11" borderId="0" applyNumberFormat="0" applyBorder="0" applyAlignment="0" applyProtection="0"/>
    <xf numFmtId="0" fontId="76" fillId="12" borderId="0" applyNumberFormat="0" applyBorder="0" applyAlignment="0" applyProtection="0"/>
    <xf numFmtId="0" fontId="77" fillId="13" borderId="0" applyNumberFormat="0" applyBorder="0" applyAlignment="0" applyProtection="0"/>
    <xf numFmtId="0" fontId="76" fillId="8" borderId="0" applyNumberFormat="0" applyBorder="0" applyAlignment="0" applyProtection="0"/>
    <xf numFmtId="0" fontId="76" fillId="14" borderId="0" applyNumberFormat="0" applyBorder="0" applyAlignment="0" applyProtection="0"/>
    <xf numFmtId="0" fontId="77" fillId="9" borderId="0" applyNumberFormat="0" applyBorder="0" applyAlignment="0" applyProtection="0"/>
    <xf numFmtId="0" fontId="76" fillId="15" borderId="0" applyNumberFormat="0" applyBorder="0" applyAlignment="0" applyProtection="0"/>
    <xf numFmtId="0" fontId="76" fillId="16" borderId="0" applyNumberFormat="0" applyBorder="0" applyAlignment="0" applyProtection="0"/>
    <xf numFmtId="0" fontId="77" fillId="7" borderId="0" applyNumberFormat="0" applyBorder="0" applyAlignment="0" applyProtection="0"/>
    <xf numFmtId="0" fontId="76" fillId="17" borderId="0" applyNumberFormat="0" applyBorder="0" applyAlignment="0" applyProtection="0"/>
    <xf numFmtId="0" fontId="76" fillId="18" borderId="0" applyNumberFormat="0" applyBorder="0" applyAlignment="0" applyProtection="0"/>
    <xf numFmtId="0" fontId="77" fillId="19" borderId="0" applyNumberFormat="0" applyBorder="0" applyAlignment="0" applyProtection="0"/>
    <xf numFmtId="205" fontId="78" fillId="20" borderId="1">
      <alignment horizontal="center" vertical="center"/>
    </xf>
    <xf numFmtId="198" fontId="79" fillId="0" borderId="0" applyFont="0" applyFill="0" applyBorder="0" applyAlignment="0" applyProtection="0"/>
    <xf numFmtId="0" fontId="79" fillId="0" borderId="0" applyFont="0" applyFill="0" applyBorder="0" applyAlignment="0" applyProtection="0"/>
    <xf numFmtId="0" fontId="67" fillId="0" borderId="0"/>
    <xf numFmtId="206" fontId="80" fillId="0" borderId="0" applyFont="0" applyFill="0" applyBorder="0" applyAlignment="0" applyProtection="0"/>
    <xf numFmtId="0" fontId="79" fillId="0" borderId="0" applyFont="0" applyFill="0" applyBorder="0" applyAlignment="0" applyProtection="0"/>
    <xf numFmtId="207" fontId="6" fillId="20" borderId="0" applyFont="0" applyFill="0" applyBorder="0" applyAlignment="0" applyProtection="0"/>
    <xf numFmtId="0" fontId="29" fillId="20" borderId="0" applyNumberFormat="0" applyFont="0" applyAlignment="0">
      <alignment horizontal="center"/>
    </xf>
    <xf numFmtId="208" fontId="51" fillId="21" borderId="2" applyAlignment="0">
      <protection locked="0"/>
    </xf>
    <xf numFmtId="209" fontId="6" fillId="20" borderId="0" applyFont="0" applyFill="0" applyBorder="0" applyAlignment="0" applyProtection="0"/>
    <xf numFmtId="210" fontId="6" fillId="20" borderId="0" applyFont="0" applyFill="0" applyBorder="0" applyAlignment="0" applyProtection="0"/>
    <xf numFmtId="0" fontId="81" fillId="0" borderId="0" applyNumberFormat="0" applyFill="0" applyBorder="0" applyAlignment="0" applyProtection="0"/>
    <xf numFmtId="0" fontId="61" fillId="0" borderId="3" applyNumberFormat="0" applyFill="0" applyAlignment="0" applyProtection="0"/>
    <xf numFmtId="0" fontId="73" fillId="0" borderId="0"/>
    <xf numFmtId="211" fontId="68" fillId="0" borderId="0" applyFont="0" applyFill="0" applyBorder="0" applyAlignment="0" applyProtection="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2" fillId="0" borderId="0"/>
    <xf numFmtId="0" fontId="83" fillId="0" borderId="0"/>
    <xf numFmtId="174" fontId="2" fillId="0" borderId="0" applyFill="0"/>
    <xf numFmtId="174" fontId="2" fillId="0" borderId="0">
      <alignment horizontal="center"/>
    </xf>
    <xf numFmtId="0" fontId="2" fillId="0" borderId="0" applyFill="0">
      <alignment horizontal="center"/>
    </xf>
    <xf numFmtId="174" fontId="3" fillId="0" borderId="4" applyFill="0"/>
    <xf numFmtId="0" fontId="4" fillId="0" borderId="0" applyFont="0" applyAlignment="0"/>
    <xf numFmtId="0" fontId="5" fillId="0" borderId="0" applyFill="0">
      <alignment vertical="top"/>
    </xf>
    <xf numFmtId="0" fontId="3" fillId="0" borderId="0" applyFill="0">
      <alignment horizontal="left" vertical="top"/>
    </xf>
    <xf numFmtId="174" fontId="6" fillId="0" borderId="5" applyFill="0"/>
    <xf numFmtId="0" fontId="4" fillId="0" borderId="0" applyNumberFormat="0" applyFont="0" applyAlignment="0"/>
    <xf numFmtId="0" fontId="5" fillId="0" borderId="0" applyFill="0">
      <alignment wrapText="1"/>
    </xf>
    <xf numFmtId="0" fontId="3" fillId="0" borderId="0" applyFill="0">
      <alignment horizontal="left" vertical="top" wrapText="1"/>
    </xf>
    <xf numFmtId="174" fontId="7" fillId="0" borderId="0" applyFill="0"/>
    <xf numFmtId="0" fontId="8" fillId="0" borderId="0" applyNumberFormat="0" applyFont="0" applyAlignment="0">
      <alignment horizontal="center"/>
    </xf>
    <xf numFmtId="0" fontId="9" fillId="0" borderId="0" applyFill="0">
      <alignment vertical="top" wrapText="1"/>
    </xf>
    <xf numFmtId="0" fontId="6" fillId="0" borderId="0" applyFill="0">
      <alignment horizontal="left" vertical="top" wrapText="1"/>
    </xf>
    <xf numFmtId="174" fontId="4" fillId="0" borderId="0" applyFill="0"/>
    <xf numFmtId="0" fontId="8" fillId="0" borderId="0" applyNumberFormat="0" applyFont="0" applyAlignment="0">
      <alignment horizontal="center"/>
    </xf>
    <xf numFmtId="0" fontId="10" fillId="0" borderId="0" applyFill="0">
      <alignment vertical="center" wrapText="1"/>
    </xf>
    <xf numFmtId="0" fontId="11" fillId="0" borderId="0">
      <alignment horizontal="left" vertical="center" wrapText="1"/>
    </xf>
    <xf numFmtId="174" fontId="12" fillId="0" borderId="0" applyFill="0"/>
    <xf numFmtId="0" fontId="8" fillId="0" borderId="0" applyNumberFormat="0" applyFont="0" applyAlignment="0">
      <alignment horizontal="center"/>
    </xf>
    <xf numFmtId="0" fontId="13" fillId="0" borderId="0" applyFill="0">
      <alignment horizontal="center" vertical="center" wrapText="1"/>
    </xf>
    <xf numFmtId="0" fontId="14" fillId="0" borderId="0" applyFill="0">
      <alignment horizontal="center" vertical="center" wrapText="1"/>
    </xf>
    <xf numFmtId="174" fontId="15" fillId="0" borderId="0" applyFill="0"/>
    <xf numFmtId="0" fontId="8" fillId="0" borderId="0" applyNumberFormat="0" applyFont="0" applyAlignment="0">
      <alignment horizontal="center"/>
    </xf>
    <xf numFmtId="0" fontId="16" fillId="0" borderId="0" applyFill="0">
      <alignment horizontal="center" vertical="center" wrapText="1"/>
    </xf>
    <xf numFmtId="0" fontId="17" fillId="0" borderId="0" applyFill="0">
      <alignment horizontal="center" vertical="center" wrapText="1"/>
    </xf>
    <xf numFmtId="174" fontId="18" fillId="0" borderId="0" applyFill="0"/>
    <xf numFmtId="0" fontId="8" fillId="0" borderId="0" applyNumberFormat="0" applyFont="0" applyAlignment="0">
      <alignment horizontal="center"/>
    </xf>
    <xf numFmtId="0" fontId="19" fillId="0" borderId="0">
      <alignment horizontal="center" wrapText="1"/>
    </xf>
    <xf numFmtId="0" fontId="15" fillId="0" borderId="0" applyFill="0">
      <alignment horizontal="center" wrapText="1"/>
    </xf>
    <xf numFmtId="0" fontId="79" fillId="0" borderId="0" applyFill="0" applyBorder="0" applyAlignment="0"/>
    <xf numFmtId="212" fontId="4" fillId="22" borderId="0"/>
    <xf numFmtId="0" fontId="67" fillId="0" borderId="0">
      <alignment vertical="center"/>
    </xf>
    <xf numFmtId="37" fontId="29" fillId="0" borderId="3">
      <alignment horizontal="center"/>
    </xf>
    <xf numFmtId="37" fontId="29" fillId="0" borderId="0">
      <alignment horizontal="center" vertical="center" wrapText="1"/>
    </xf>
    <xf numFmtId="43" fontId="4" fillId="0" borderId="0" applyFont="0" applyFill="0" applyBorder="0" applyAlignment="0" applyProtection="0"/>
    <xf numFmtId="213" fontId="68" fillId="0" borderId="0"/>
    <xf numFmtId="213" fontId="68" fillId="0" borderId="0"/>
    <xf numFmtId="213" fontId="68" fillId="0" borderId="0"/>
    <xf numFmtId="213" fontId="68" fillId="0" borderId="0"/>
    <xf numFmtId="213" fontId="68" fillId="0" borderId="0"/>
    <xf numFmtId="213" fontId="68" fillId="0" borderId="0"/>
    <xf numFmtId="213" fontId="68" fillId="0" borderId="0"/>
    <xf numFmtId="213" fontId="68" fillId="0" borderId="0"/>
    <xf numFmtId="38" fontId="4" fillId="0" borderId="0" applyFont="0" applyFill="0" applyBorder="0" applyAlignment="0" applyProtection="0"/>
    <xf numFmtId="41" fontId="4" fillId="0" borderId="0" applyFont="0" applyFill="0" applyBorder="0" applyAlignment="0" applyProtection="0"/>
    <xf numFmtId="214" fontId="75" fillId="0" borderId="0"/>
    <xf numFmtId="196" fontId="73" fillId="0" borderId="0"/>
    <xf numFmtId="215" fontId="75" fillId="0" borderId="0"/>
    <xf numFmtId="0" fontId="84" fillId="0" borderId="0" applyFont="0" applyFill="0" applyBorder="0" applyAlignment="0" applyProtection="0">
      <alignment horizontal="right"/>
    </xf>
    <xf numFmtId="216" fontId="84" fillId="0" borderId="0" applyFont="0" applyFill="0" applyBorder="0" applyAlignment="0" applyProtection="0"/>
    <xf numFmtId="0" fontId="84" fillId="0" borderId="0" applyFont="0" applyFill="0" applyBorder="0" applyAlignment="0" applyProtection="0">
      <alignment horizontal="right"/>
    </xf>
    <xf numFmtId="43" fontId="14" fillId="0" borderId="0" applyFont="0" applyFill="0" applyBorder="0" applyAlignment="0" applyProtection="0"/>
    <xf numFmtId="43" fontId="4" fillId="0" borderId="0" applyFont="0" applyFill="0" applyBorder="0" applyAlignment="0" applyProtection="0"/>
    <xf numFmtId="217" fontId="67" fillId="0" borderId="0" applyFont="0" applyFill="0" applyBorder="0" applyAlignment="0" applyProtection="0"/>
    <xf numFmtId="0" fontId="84" fillId="0" borderId="0" applyFont="0" applyFill="0" applyBorder="0" applyAlignment="0" applyProtection="0">
      <alignment horizontal="right"/>
    </xf>
    <xf numFmtId="43" fontId="55" fillId="0" borderId="0" applyFont="0" applyFill="0" applyBorder="0" applyAlignment="0" applyProtection="0"/>
    <xf numFmtId="43" fontId="4" fillId="0" borderId="0" applyFont="0" applyFill="0" applyBorder="0" applyAlignment="0" applyProtection="0"/>
    <xf numFmtId="218" fontId="67" fillId="0" borderId="0" applyFont="0" applyFill="0" applyBorder="0" applyAlignment="0" applyProtection="0"/>
    <xf numFmtId="43" fontId="4" fillId="0" borderId="0" applyFont="0" applyFill="0" applyBorder="0" applyAlignment="0" applyProtection="0"/>
    <xf numFmtId="43" fontId="67" fillId="0" borderId="0" applyFont="0" applyFill="0" applyBorder="0" applyAlignment="0" applyProtection="0"/>
    <xf numFmtId="43" fontId="151" fillId="0" borderId="0" applyFont="0" applyFill="0" applyBorder="0" applyAlignment="0" applyProtection="0"/>
    <xf numFmtId="219" fontId="67" fillId="0" borderId="0" applyFont="0" applyFill="0" applyBorder="0" applyAlignment="0" applyProtection="0"/>
    <xf numFmtId="38" fontId="68" fillId="0" borderId="0" applyFill="0" applyBorder="0" applyProtection="0">
      <alignment horizontal="center"/>
    </xf>
    <xf numFmtId="3" fontId="4" fillId="0" borderId="0" applyFont="0" applyFill="0" applyBorder="0" applyAlignment="0" applyProtection="0"/>
    <xf numFmtId="220" fontId="67" fillId="0" borderId="0" applyFill="0" applyBorder="0">
      <alignment horizontal="left"/>
    </xf>
    <xf numFmtId="0" fontId="4" fillId="0" borderId="6"/>
    <xf numFmtId="0" fontId="85" fillId="0" borderId="0" applyNumberFormat="0" applyAlignment="0">
      <alignment horizontal="left"/>
    </xf>
    <xf numFmtId="37" fontId="67" fillId="25" borderId="0" applyFont="0" applyBorder="0" applyAlignment="0" applyProtection="0"/>
    <xf numFmtId="181" fontId="86" fillId="25" borderId="0" applyFont="0" applyBorder="0" applyAlignment="0" applyProtection="0"/>
    <xf numFmtId="39" fontId="86" fillId="25" borderId="0" applyFont="0" applyBorder="0" applyAlignment="0" applyProtection="0"/>
    <xf numFmtId="44" fontId="4" fillId="0" borderId="0" applyFont="0" applyFill="0" applyBorder="0" applyAlignment="0" applyProtection="0"/>
    <xf numFmtId="42" fontId="4" fillId="0" borderId="0">
      <alignment horizontal="right"/>
    </xf>
    <xf numFmtId="0" fontId="84" fillId="0" borderId="0" applyFont="0" applyFill="0" applyBorder="0" applyAlignment="0" applyProtection="0">
      <alignment horizontal="right"/>
    </xf>
    <xf numFmtId="44" fontId="14" fillId="0" borderId="0" applyFont="0" applyFill="0" applyBorder="0" applyAlignment="0" applyProtection="0"/>
    <xf numFmtId="44" fontId="4" fillId="0" borderId="0" applyFont="0" applyFill="0" applyBorder="0" applyAlignment="0" applyProtection="0"/>
    <xf numFmtId="221" fontId="67" fillId="0" borderId="0" applyFont="0" applyFill="0" applyBorder="0" applyAlignment="0" applyProtection="0"/>
    <xf numFmtId="0" fontId="84" fillId="0" borderId="0" applyFont="0" applyFill="0" applyBorder="0" applyAlignment="0" applyProtection="0">
      <alignment horizontal="right"/>
    </xf>
    <xf numFmtId="44" fontId="55" fillId="0" borderId="0" applyFont="0" applyFill="0" applyBorder="0" applyAlignment="0" applyProtection="0"/>
    <xf numFmtId="44" fontId="4" fillId="0" borderId="0" applyFont="0" applyFill="0" applyBorder="0" applyAlignment="0" applyProtection="0"/>
    <xf numFmtId="220" fontId="67" fillId="0" borderId="0" applyFont="0" applyFill="0" applyBorder="0" applyAlignment="0" applyProtection="0"/>
    <xf numFmtId="44" fontId="151" fillId="0" borderId="0" applyFont="0" applyFill="0" applyBorder="0" applyAlignment="0" applyProtection="0"/>
    <xf numFmtId="222" fontId="67" fillId="0" borderId="0" applyFont="0" applyFill="0" applyBorder="0" applyAlignment="0" applyProtection="0"/>
    <xf numFmtId="5" fontId="4" fillId="0" borderId="0" applyFont="0" applyFill="0" applyBorder="0" applyAlignment="0" applyProtection="0"/>
    <xf numFmtId="223" fontId="68" fillId="0" borderId="0" applyFont="0" applyFill="0" applyBorder="0" applyAlignment="0" applyProtection="0"/>
    <xf numFmtId="14" fontId="4" fillId="0" borderId="0" applyFont="0" applyFill="0" applyBorder="0" applyAlignment="0" applyProtection="0"/>
    <xf numFmtId="0" fontId="84" fillId="0" borderId="0" applyFont="0" applyFill="0" applyBorder="0" applyAlignment="0" applyProtection="0"/>
    <xf numFmtId="224" fontId="67" fillId="0" borderId="0" applyFont="0" applyFill="0" applyBorder="0" applyAlignment="0" applyProtection="0"/>
    <xf numFmtId="0" fontId="84" fillId="0" borderId="0" applyFont="0" applyFill="0" applyBorder="0" applyAlignment="0" applyProtection="0"/>
    <xf numFmtId="225" fontId="67" fillId="0" borderId="0" applyFill="0" applyBorder="0"/>
    <xf numFmtId="200" fontId="75" fillId="0" borderId="0">
      <alignment horizontal="right"/>
    </xf>
    <xf numFmtId="196" fontId="75" fillId="0" borderId="0">
      <alignment horizontal="right"/>
      <protection locked="0"/>
    </xf>
    <xf numFmtId="196" fontId="75" fillId="0" borderId="0"/>
    <xf numFmtId="226" fontId="75" fillId="0" borderId="0">
      <alignment horizontal="right"/>
      <protection locked="0"/>
    </xf>
    <xf numFmtId="184" fontId="67" fillId="0" borderId="0" applyFont="0" applyFill="0" applyBorder="0" applyAlignment="0" applyProtection="0"/>
    <xf numFmtId="185" fontId="67" fillId="0" borderId="0" applyFont="0" applyFill="0" applyBorder="0" applyAlignment="0" applyProtection="0"/>
    <xf numFmtId="8" fontId="68" fillId="0" borderId="0" applyFill="0" applyBorder="0" applyProtection="0">
      <alignment horizontal="center"/>
    </xf>
    <xf numFmtId="6" fontId="68" fillId="0" borderId="0">
      <alignment horizontal="center"/>
    </xf>
    <xf numFmtId="8" fontId="68" fillId="0" borderId="0" applyFill="0" applyBorder="0" applyProtection="0">
      <alignment horizontal="center"/>
    </xf>
    <xf numFmtId="0" fontId="84" fillId="0" borderId="7" applyNumberFormat="0" applyFont="0" applyFill="0" applyAlignment="0" applyProtection="0"/>
    <xf numFmtId="199" fontId="75" fillId="0" borderId="0"/>
    <xf numFmtId="0" fontId="87" fillId="26" borderId="0" applyNumberFormat="0" applyBorder="0" applyAlignment="0" applyProtection="0"/>
    <xf numFmtId="0" fontId="87" fillId="27" borderId="0" applyNumberFormat="0" applyBorder="0" applyAlignment="0" applyProtection="0"/>
    <xf numFmtId="0" fontId="87" fillId="28" borderId="0" applyNumberFormat="0" applyBorder="0" applyAlignment="0" applyProtection="0"/>
    <xf numFmtId="0" fontId="88" fillId="0" borderId="0" applyNumberFormat="0" applyAlignment="0">
      <alignment horizontal="left"/>
    </xf>
    <xf numFmtId="227" fontId="89" fillId="0" borderId="0" applyFont="0" applyFill="0" applyBorder="0" applyAlignment="0" applyProtection="0"/>
    <xf numFmtId="0" fontId="68" fillId="24" borderId="0" applyNumberFormat="0" applyFont="0" applyBorder="0" applyAlignment="0" applyProtection="0"/>
    <xf numFmtId="0" fontId="90" fillId="0" borderId="0" applyNumberFormat="0" applyFill="0" applyBorder="0" applyAlignment="0" applyProtection="0"/>
    <xf numFmtId="228" fontId="91" fillId="0" borderId="0" applyFill="0" applyBorder="0"/>
    <xf numFmtId="15" fontId="92" fillId="0" borderId="0" applyFill="0" applyBorder="0" applyProtection="0">
      <alignment horizontal="center"/>
    </xf>
    <xf numFmtId="0" fontId="68" fillId="2" borderId="0" applyNumberFormat="0" applyFont="0" applyBorder="0" applyAlignment="0" applyProtection="0"/>
    <xf numFmtId="229" fontId="93" fillId="23" borderId="8" applyAlignment="0" applyProtection="0"/>
    <xf numFmtId="230" fontId="94" fillId="0" borderId="0" applyNumberFormat="0" applyFill="0" applyBorder="0" applyAlignment="0" applyProtection="0"/>
    <xf numFmtId="230" fontId="95" fillId="0" borderId="0" applyNumberFormat="0" applyFill="0" applyBorder="0" applyAlignment="0" applyProtection="0"/>
    <xf numFmtId="15" fontId="51" fillId="29" borderId="9">
      <alignment horizontal="center"/>
      <protection locked="0"/>
    </xf>
    <xf numFmtId="231" fontId="51" fillId="29" borderId="9" applyAlignment="0">
      <protection locked="0"/>
    </xf>
    <xf numFmtId="230" fontId="51" fillId="29" borderId="9" applyAlignment="0">
      <protection locked="0"/>
    </xf>
    <xf numFmtId="230" fontId="92" fillId="0" borderId="0" applyFill="0" applyBorder="0" applyAlignment="0" applyProtection="0"/>
    <xf numFmtId="231" fontId="92" fillId="0" borderId="0" applyFill="0" applyBorder="0" applyAlignment="0" applyProtection="0"/>
    <xf numFmtId="232" fontId="92" fillId="0" borderId="0" applyFill="0" applyBorder="0" applyAlignment="0" applyProtection="0"/>
    <xf numFmtId="0" fontId="68" fillId="0" borderId="10" applyNumberFormat="0" applyFont="0" applyAlignment="0" applyProtection="0"/>
    <xf numFmtId="0" fontId="68" fillId="0" borderId="11" applyNumberFormat="0" applyFont="0" applyAlignment="0" applyProtection="0"/>
    <xf numFmtId="0" fontId="68" fillId="4" borderId="0" applyNumberFormat="0" applyFont="0" applyBorder="0" applyAlignment="0" applyProtection="0"/>
    <xf numFmtId="2" fontId="4" fillId="0" borderId="0" applyFont="0" applyFill="0" applyBorder="0" applyAlignment="0" applyProtection="0"/>
    <xf numFmtId="0" fontId="96" fillId="0" borderId="0"/>
    <xf numFmtId="0" fontId="97" fillId="0" borderId="0" applyFill="0" applyBorder="0" applyProtection="0">
      <alignment horizontal="left"/>
    </xf>
    <xf numFmtId="4" fontId="98" fillId="0" borderId="0">
      <protection locked="0"/>
    </xf>
    <xf numFmtId="10" fontId="99" fillId="30" borderId="2" applyNumberFormat="0" applyFill="0" applyBorder="0" applyAlignment="0" applyProtection="0">
      <protection locked="0"/>
    </xf>
    <xf numFmtId="0" fontId="29" fillId="20" borderId="0" applyFont="0" applyFill="0" applyBorder="0" applyAlignment="0" applyProtection="0"/>
    <xf numFmtId="38" fontId="2" fillId="22" borderId="0" applyNumberFormat="0" applyBorder="0" applyAlignment="0" applyProtection="0"/>
    <xf numFmtId="0" fontId="84" fillId="0" borderId="0" applyFont="0" applyFill="0" applyBorder="0" applyAlignment="0" applyProtection="0">
      <alignment horizontal="right"/>
    </xf>
    <xf numFmtId="0" fontId="100" fillId="0" borderId="0" applyProtection="0">
      <alignment horizontal="right"/>
    </xf>
    <xf numFmtId="0" fontId="6" fillId="0" borderId="12" applyNumberFormat="0" applyAlignment="0" applyProtection="0">
      <alignment horizontal="left" vertical="center"/>
    </xf>
    <xf numFmtId="0" fontId="6" fillId="0" borderId="8">
      <alignment horizontal="left" vertical="center"/>
    </xf>
    <xf numFmtId="0" fontId="20" fillId="0" borderId="0" applyFont="0" applyFill="0" applyBorder="0" applyAlignment="0" applyProtection="0"/>
    <xf numFmtId="0" fontId="21" fillId="0" borderId="0" applyFont="0" applyFill="0" applyBorder="0" applyAlignment="0" applyProtection="0"/>
    <xf numFmtId="0" fontId="22" fillId="0" borderId="13"/>
    <xf numFmtId="0" fontId="23" fillId="0" borderId="0"/>
    <xf numFmtId="233" fontId="101" fillId="0" borderId="0">
      <alignment horizontal="right"/>
    </xf>
    <xf numFmtId="0" fontId="51" fillId="0" borderId="14" applyNumberFormat="0" applyFill="0" applyAlignment="0" applyProtection="0"/>
    <xf numFmtId="0" fontId="49" fillId="0" borderId="0">
      <alignment wrapText="1"/>
    </xf>
    <xf numFmtId="10" fontId="2" fillId="31" borderId="2" applyNumberFormat="0" applyBorder="0" applyAlignment="0" applyProtection="0"/>
    <xf numFmtId="0" fontId="51" fillId="0" borderId="0" applyNumberFormat="0" applyFill="0" applyBorder="0" applyAlignment="0">
      <protection locked="0"/>
    </xf>
    <xf numFmtId="0" fontId="102" fillId="32" borderId="0"/>
    <xf numFmtId="212" fontId="29" fillId="33" borderId="0">
      <protection locked="0"/>
    </xf>
    <xf numFmtId="234" fontId="68" fillId="0" borderId="0"/>
    <xf numFmtId="40" fontId="103" fillId="0" borderId="0">
      <alignment horizontal="right"/>
    </xf>
    <xf numFmtId="37" fontId="3" fillId="0" borderId="0"/>
    <xf numFmtId="0" fontId="104" fillId="0" borderId="0">
      <alignment vertical="center"/>
    </xf>
    <xf numFmtId="0" fontId="67" fillId="0" borderId="0" applyNumberFormat="0" applyFill="0" applyBorder="0" applyAlignment="0" applyProtection="0"/>
    <xf numFmtId="0" fontId="105" fillId="0" borderId="13"/>
    <xf numFmtId="235" fontId="68" fillId="0" borderId="0" applyFill="0" applyBorder="0" applyProtection="0">
      <alignment horizontal="center"/>
    </xf>
    <xf numFmtId="236" fontId="40" fillId="0" borderId="0" applyFont="0" applyFill="0" applyBorder="0" applyAlignment="0" applyProtection="0">
      <alignment horizontal="centerContinuous"/>
      <protection locked="0"/>
    </xf>
    <xf numFmtId="237" fontId="2" fillId="0" borderId="0" applyFont="0" applyFill="0" applyBorder="0" applyAlignment="0" applyProtection="0">
      <alignment horizontal="right"/>
    </xf>
    <xf numFmtId="230" fontId="4" fillId="24" borderId="0"/>
    <xf numFmtId="230" fontId="90" fillId="0" borderId="0"/>
    <xf numFmtId="228" fontId="91" fillId="0" borderId="0"/>
    <xf numFmtId="15" fontId="92" fillId="0" borderId="0">
      <alignment horizontal="center"/>
    </xf>
    <xf numFmtId="230" fontId="4" fillId="2" borderId="0"/>
    <xf numFmtId="229" fontId="93" fillId="23" borderId="8"/>
    <xf numFmtId="230" fontId="94" fillId="0" borderId="0"/>
    <xf numFmtId="230" fontId="95" fillId="0" borderId="0"/>
    <xf numFmtId="15" fontId="51" fillId="29" borderId="9">
      <alignment horizontal="center"/>
      <protection locked="0"/>
    </xf>
    <xf numFmtId="231" fontId="51" fillId="29" borderId="9">
      <protection locked="0"/>
    </xf>
    <xf numFmtId="230" fontId="51" fillId="29" borderId="9">
      <protection locked="0"/>
    </xf>
    <xf numFmtId="230" fontId="92" fillId="0" borderId="0"/>
    <xf numFmtId="231" fontId="92" fillId="0" borderId="0"/>
    <xf numFmtId="232" fontId="92" fillId="0" borderId="0"/>
    <xf numFmtId="230" fontId="4" fillId="0" borderId="10"/>
    <xf numFmtId="230" fontId="4" fillId="0" borderId="11"/>
    <xf numFmtId="230" fontId="4" fillId="4" borderId="0"/>
    <xf numFmtId="37" fontId="106" fillId="0" borderId="0"/>
    <xf numFmtId="0" fontId="67" fillId="0" borderId="0"/>
    <xf numFmtId="238" fontId="59" fillId="0" borderId="0"/>
    <xf numFmtId="238" fontId="59" fillId="0" borderId="3"/>
    <xf numFmtId="238" fontId="59" fillId="0" borderId="15"/>
    <xf numFmtId="239" fontId="75" fillId="0" borderId="0"/>
    <xf numFmtId="240" fontId="75" fillId="0" borderId="0"/>
    <xf numFmtId="241" fontId="75" fillId="0" borderId="0"/>
    <xf numFmtId="0" fontId="4" fillId="0" borderId="0"/>
    <xf numFmtId="0" fontId="14" fillId="0" borderId="0"/>
    <xf numFmtId="0" fontId="4" fillId="0" borderId="0"/>
    <xf numFmtId="0" fontId="4" fillId="0" borderId="0"/>
    <xf numFmtId="0" fontId="55" fillId="0" borderId="0"/>
    <xf numFmtId="0" fontId="4" fillId="0" borderId="0"/>
    <xf numFmtId="0" fontId="67" fillId="0" borderId="0"/>
    <xf numFmtId="174" fontId="24" fillId="0" borderId="0" applyProtection="0"/>
    <xf numFmtId="0" fontId="151" fillId="0" borderId="0"/>
    <xf numFmtId="0" fontId="4" fillId="0" borderId="0"/>
    <xf numFmtId="174" fontId="24" fillId="0" borderId="0" applyProtection="0"/>
    <xf numFmtId="0" fontId="151" fillId="0" borderId="0"/>
    <xf numFmtId="214" fontId="73" fillId="0" borderId="15"/>
    <xf numFmtId="0" fontId="51" fillId="0" borderId="0" applyFill="0" applyBorder="0">
      <protection locked="0"/>
    </xf>
    <xf numFmtId="0" fontId="24" fillId="0" borderId="0" applyProtection="0"/>
    <xf numFmtId="0" fontId="4" fillId="0" borderId="0"/>
    <xf numFmtId="242" fontId="11" fillId="0" borderId="0" applyFont="0" applyFill="0" applyBorder="0" applyAlignment="0" applyProtection="0"/>
    <xf numFmtId="0" fontId="107" fillId="0" borderId="0"/>
    <xf numFmtId="0" fontId="67" fillId="0" borderId="0"/>
    <xf numFmtId="40" fontId="92" fillId="34" borderId="0">
      <alignment horizontal="right"/>
    </xf>
    <xf numFmtId="0" fontId="108" fillId="35" borderId="0">
      <alignment horizontal="center"/>
    </xf>
    <xf numFmtId="0" fontId="109" fillId="36" borderId="0"/>
    <xf numFmtId="0" fontId="110" fillId="34" borderId="0" applyBorder="0">
      <alignment horizontal="centerContinuous"/>
    </xf>
    <xf numFmtId="0" fontId="111" fillId="36" borderId="0" applyBorder="0">
      <alignment horizontal="centerContinuous"/>
    </xf>
    <xf numFmtId="0" fontId="40" fillId="37" borderId="0" applyNumberFormat="0" applyFont="0" applyBorder="0" applyAlignment="0"/>
    <xf numFmtId="1" fontId="112" fillId="0" borderId="0" applyProtection="0">
      <alignment horizontal="right" vertical="center"/>
    </xf>
    <xf numFmtId="181" fontId="38" fillId="0" borderId="0">
      <alignment horizontal="left"/>
    </xf>
    <xf numFmtId="9" fontId="4" fillId="0" borderId="0" applyFont="0" applyFill="0" applyBorder="0" applyAlignment="0" applyProtection="0"/>
    <xf numFmtId="10" fontId="67" fillId="0" borderId="0" applyFont="0" applyFill="0" applyBorder="0" applyAlignment="0" applyProtection="0"/>
    <xf numFmtId="9" fontId="14" fillId="0" borderId="0" applyFont="0" applyFill="0" applyBorder="0" applyAlignment="0" applyProtection="0"/>
    <xf numFmtId="9" fontId="4" fillId="0" borderId="0" applyFont="0" applyFill="0" applyBorder="0" applyAlignment="0" applyProtection="0"/>
    <xf numFmtId="243" fontId="75" fillId="0" borderId="0"/>
    <xf numFmtId="9" fontId="5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7" fillId="0" borderId="0" applyFont="0" applyFill="0" applyBorder="0" applyAlignment="0" applyProtection="0"/>
    <xf numFmtId="244" fontId="29" fillId="25" borderId="0" applyBorder="0" applyAlignment="0">
      <protection locked="0"/>
    </xf>
    <xf numFmtId="9" fontId="75" fillId="0" borderId="0"/>
    <xf numFmtId="171" fontId="75" fillId="0" borderId="0"/>
    <xf numFmtId="10" fontId="75" fillId="0" borderId="0"/>
    <xf numFmtId="245" fontId="67" fillId="0" borderId="0" applyFont="0" applyFill="0" applyBorder="0" applyAlignment="0" applyProtection="0"/>
    <xf numFmtId="246" fontId="73" fillId="0" borderId="0"/>
    <xf numFmtId="247" fontId="73" fillId="0" borderId="0"/>
    <xf numFmtId="247" fontId="75" fillId="0" borderId="0"/>
    <xf numFmtId="40" fontId="67" fillId="0" borderId="0"/>
    <xf numFmtId="0" fontId="25" fillId="0" borderId="0" applyNumberFormat="0" applyFont="0" applyFill="0" applyBorder="0" applyAlignment="0" applyProtection="0">
      <alignment horizontal="left"/>
    </xf>
    <xf numFmtId="15" fontId="25" fillId="0" borderId="0" applyFont="0" applyFill="0" applyBorder="0" applyAlignment="0" applyProtection="0"/>
    <xf numFmtId="4" fontId="25" fillId="0" borderId="0" applyFont="0" applyFill="0" applyBorder="0" applyAlignment="0" applyProtection="0"/>
    <xf numFmtId="3" fontId="4" fillId="0" borderId="0">
      <alignment horizontal="left" vertical="top"/>
    </xf>
    <xf numFmtId="0" fontId="26" fillId="0" borderId="13">
      <alignment horizontal="center"/>
    </xf>
    <xf numFmtId="3" fontId="25" fillId="0" borderId="0" applyFont="0" applyFill="0" applyBorder="0" applyAlignment="0" applyProtection="0"/>
    <xf numFmtId="0" fontId="25" fillId="38" borderId="0" applyNumberFormat="0" applyFont="0" applyBorder="0" applyAlignment="0" applyProtection="0"/>
    <xf numFmtId="3" fontId="4" fillId="0" borderId="0">
      <alignment horizontal="right" vertical="top"/>
    </xf>
    <xf numFmtId="41" fontId="11" fillId="22" borderId="17" applyFill="0"/>
    <xf numFmtId="0" fontId="27" fillId="0" borderId="0">
      <alignment horizontal="left" indent="7"/>
    </xf>
    <xf numFmtId="41" fontId="11" fillId="0" borderId="17" applyFill="0">
      <alignment horizontal="left" indent="2"/>
    </xf>
    <xf numFmtId="174" fontId="28" fillId="0" borderId="3" applyFill="0">
      <alignment horizontal="right"/>
    </xf>
    <xf numFmtId="0" fontId="29" fillId="0" borderId="2" applyNumberFormat="0" applyFont="0" applyBorder="0">
      <alignment horizontal="right"/>
    </xf>
    <xf numFmtId="0" fontId="30" fillId="0" borderId="0" applyFill="0"/>
    <xf numFmtId="0" fontId="6" fillId="0" borderId="0" applyFill="0"/>
    <xf numFmtId="4" fontId="28" fillId="0" borderId="3" applyFill="0"/>
    <xf numFmtId="0" fontId="4" fillId="0" borderId="0" applyNumberFormat="0" applyFont="0" applyBorder="0" applyAlignment="0"/>
    <xf numFmtId="0" fontId="9" fillId="0" borderId="0" applyFill="0">
      <alignment horizontal="left" indent="1"/>
    </xf>
    <xf numFmtId="0" fontId="31" fillId="0" borderId="0" applyFill="0">
      <alignment horizontal="left" indent="1"/>
    </xf>
    <xf numFmtId="4" fontId="12" fillId="0" borderId="0" applyFill="0"/>
    <xf numFmtId="0" fontId="4" fillId="0" borderId="0" applyNumberFormat="0" applyFont="0" applyFill="0" applyBorder="0" applyAlignment="0"/>
    <xf numFmtId="0" fontId="9" fillId="0" borderId="0" applyFill="0">
      <alignment horizontal="left" indent="2"/>
    </xf>
    <xf numFmtId="0" fontId="6" fillId="0" borderId="0" applyFill="0">
      <alignment horizontal="left" indent="2"/>
    </xf>
    <xf numFmtId="4" fontId="12" fillId="0" borderId="0" applyFill="0"/>
    <xf numFmtId="0" fontId="4" fillId="0" borderId="0" applyNumberFormat="0" applyFont="0" applyBorder="0" applyAlignment="0"/>
    <xf numFmtId="0" fontId="32" fillId="0" borderId="0">
      <alignment horizontal="left" indent="3"/>
    </xf>
    <xf numFmtId="0" fontId="33" fillId="0" borderId="0" applyFill="0">
      <alignment horizontal="left" indent="3"/>
    </xf>
    <xf numFmtId="4" fontId="12" fillId="0" borderId="0" applyFill="0"/>
    <xf numFmtId="0" fontId="4" fillId="0" borderId="0" applyNumberFormat="0" applyFont="0" applyBorder="0" applyAlignment="0"/>
    <xf numFmtId="0" fontId="13" fillId="0" borderId="0">
      <alignment horizontal="left" indent="4"/>
    </xf>
    <xf numFmtId="0" fontId="14" fillId="0" borderId="0" applyFill="0">
      <alignment horizontal="left" indent="4"/>
    </xf>
    <xf numFmtId="4" fontId="15" fillId="0" borderId="0" applyFill="0"/>
    <xf numFmtId="0" fontId="4" fillId="0" borderId="0" applyNumberFormat="0" applyFont="0" applyBorder="0" applyAlignment="0"/>
    <xf numFmtId="0" fontId="16" fillId="0" borderId="0">
      <alignment horizontal="left" indent="5"/>
    </xf>
    <xf numFmtId="0" fontId="17" fillId="0" borderId="0" applyFill="0">
      <alignment horizontal="left" indent="5"/>
    </xf>
    <xf numFmtId="4" fontId="18" fillId="0" borderId="0" applyFill="0"/>
    <xf numFmtId="0" fontId="4" fillId="0" borderId="0" applyNumberFormat="0" applyFont="0" applyFill="0" applyBorder="0" applyAlignment="0"/>
    <xf numFmtId="0" fontId="19" fillId="0" borderId="0" applyFill="0">
      <alignment horizontal="left" indent="6"/>
    </xf>
    <xf numFmtId="0" fontId="15" fillId="0" borderId="0" applyFill="0">
      <alignment horizontal="left" indent="6"/>
    </xf>
    <xf numFmtId="0" fontId="113" fillId="0" borderId="0"/>
    <xf numFmtId="14" fontId="114" fillId="0" borderId="0" applyNumberFormat="0" applyFill="0" applyBorder="0" applyAlignment="0" applyProtection="0">
      <alignment horizontal="left"/>
    </xf>
    <xf numFmtId="181" fontId="115" fillId="0" borderId="0"/>
    <xf numFmtId="0" fontId="115" fillId="0" borderId="18">
      <alignment horizontal="centerContinuous"/>
    </xf>
    <xf numFmtId="0" fontId="115" fillId="0" borderId="18">
      <protection locked="0"/>
    </xf>
    <xf numFmtId="0" fontId="115" fillId="0" borderId="18">
      <alignment horizontal="centerContinuous"/>
    </xf>
    <xf numFmtId="181" fontId="115" fillId="0" borderId="0"/>
    <xf numFmtId="0" fontId="115" fillId="0" borderId="18">
      <protection locked="0"/>
    </xf>
    <xf numFmtId="181" fontId="115" fillId="0" borderId="0"/>
    <xf numFmtId="0" fontId="115" fillId="0" borderId="18">
      <alignment horizontal="centerContinuous"/>
    </xf>
    <xf numFmtId="0" fontId="115" fillId="0" borderId="18">
      <alignment horizontal="centerContinuous"/>
    </xf>
    <xf numFmtId="181" fontId="115" fillId="0" borderId="0"/>
    <xf numFmtId="0" fontId="115" fillId="0" borderId="18">
      <protection locked="0"/>
    </xf>
    <xf numFmtId="181" fontId="115" fillId="0" borderId="0"/>
    <xf numFmtId="0" fontId="115" fillId="0" borderId="18">
      <protection locked="0"/>
    </xf>
    <xf numFmtId="0" fontId="115" fillId="0" borderId="18">
      <alignment horizontal="centerContinuous"/>
    </xf>
    <xf numFmtId="181" fontId="115" fillId="0" borderId="0"/>
    <xf numFmtId="0" fontId="115" fillId="0" borderId="18">
      <protection locked="0"/>
    </xf>
    <xf numFmtId="0" fontId="115" fillId="0" borderId="18">
      <alignment horizontal="centerContinuous"/>
    </xf>
    <xf numFmtId="0" fontId="115" fillId="0" borderId="18">
      <alignment horizontal="centerContinuous"/>
    </xf>
    <xf numFmtId="181" fontId="115" fillId="0" borderId="0"/>
    <xf numFmtId="0" fontId="115" fillId="0" borderId="18">
      <alignment horizontal="centerContinuous"/>
    </xf>
    <xf numFmtId="0" fontId="115" fillId="0" borderId="18">
      <protection locked="0"/>
    </xf>
    <xf numFmtId="181" fontId="115" fillId="0" borderId="0"/>
    <xf numFmtId="0" fontId="115" fillId="0" borderId="0"/>
    <xf numFmtId="181" fontId="115" fillId="0" borderId="0"/>
    <xf numFmtId="0" fontId="115" fillId="0" borderId="18">
      <alignment horizontal="centerContinuous"/>
    </xf>
    <xf numFmtId="0" fontId="115" fillId="0" borderId="18">
      <protection locked="0"/>
    </xf>
    <xf numFmtId="181" fontId="115" fillId="0" borderId="0"/>
    <xf numFmtId="0" fontId="115" fillId="0" borderId="18">
      <alignment horizontal="centerContinuous"/>
    </xf>
    <xf numFmtId="0" fontId="115" fillId="0" borderId="18">
      <protection locked="0"/>
    </xf>
    <xf numFmtId="0" fontId="115" fillId="0" borderId="18">
      <alignment horizontal="centerContinuous"/>
    </xf>
    <xf numFmtId="0" fontId="115" fillId="0" borderId="18">
      <protection locked="0"/>
    </xf>
    <xf numFmtId="0" fontId="115" fillId="0" borderId="18">
      <protection locked="0"/>
    </xf>
    <xf numFmtId="181" fontId="115" fillId="0" borderId="0"/>
    <xf numFmtId="0" fontId="115" fillId="0" borderId="18">
      <protection locked="0"/>
    </xf>
    <xf numFmtId="0" fontId="115" fillId="0" borderId="18">
      <alignment horizontal="centerContinuous"/>
    </xf>
    <xf numFmtId="0" fontId="115" fillId="0" borderId="18">
      <alignment horizontal="centerContinuous"/>
    </xf>
    <xf numFmtId="0" fontId="115" fillId="0" borderId="18">
      <protection locked="0"/>
    </xf>
    <xf numFmtId="181" fontId="115" fillId="0" borderId="0"/>
    <xf numFmtId="0" fontId="115" fillId="0" borderId="18">
      <alignment horizontal="centerContinuous"/>
    </xf>
    <xf numFmtId="0" fontId="115" fillId="0" borderId="18">
      <alignment horizontal="centerContinuous"/>
    </xf>
    <xf numFmtId="181" fontId="115" fillId="0" borderId="0"/>
    <xf numFmtId="0" fontId="115" fillId="0" borderId="18">
      <alignment horizontal="centerContinuous"/>
    </xf>
    <xf numFmtId="181" fontId="115" fillId="0" borderId="0"/>
    <xf numFmtId="0" fontId="115" fillId="0" borderId="18">
      <alignment horizontal="centerContinuous"/>
    </xf>
    <xf numFmtId="181" fontId="115" fillId="0" borderId="0"/>
    <xf numFmtId="0" fontId="115" fillId="0" borderId="18">
      <protection locked="0"/>
    </xf>
    <xf numFmtId="0" fontId="115" fillId="0" borderId="18">
      <alignment horizontal="centerContinuous"/>
    </xf>
    <xf numFmtId="181" fontId="115" fillId="0" borderId="0"/>
    <xf numFmtId="0" fontId="116" fillId="0" borderId="19">
      <alignment vertical="center"/>
    </xf>
    <xf numFmtId="4" fontId="117" fillId="21" borderId="20" applyNumberFormat="0" applyProtection="0">
      <alignment vertical="center"/>
    </xf>
    <xf numFmtId="4" fontId="118" fillId="21" borderId="20" applyNumberFormat="0" applyProtection="0">
      <alignment vertical="center"/>
    </xf>
    <xf numFmtId="4" fontId="119" fillId="21" borderId="20" applyNumberFormat="0" applyProtection="0">
      <alignment horizontal="left" vertical="center" indent="1"/>
    </xf>
    <xf numFmtId="0" fontId="120" fillId="29" borderId="20" applyNumberFormat="0" applyProtection="0">
      <alignment horizontal="left" vertical="top" indent="1"/>
    </xf>
    <xf numFmtId="4" fontId="119" fillId="39" borderId="0" applyNumberFormat="0" applyProtection="0">
      <alignment horizontal="left" vertical="center" indent="1"/>
    </xf>
    <xf numFmtId="4" fontId="119" fillId="40" borderId="20" applyNumberFormat="0" applyProtection="0">
      <alignment horizontal="right" vertical="center"/>
    </xf>
    <xf numFmtId="4" fontId="119" fillId="41" borderId="20" applyNumberFormat="0" applyProtection="0">
      <alignment horizontal="right" vertical="center"/>
    </xf>
    <xf numFmtId="4" fontId="119" fillId="33" borderId="20" applyNumberFormat="0" applyProtection="0">
      <alignment horizontal="right" vertical="center"/>
    </xf>
    <xf numFmtId="4" fontId="119" fillId="42" borderId="20" applyNumberFormat="0" applyProtection="0">
      <alignment horizontal="right" vertical="center"/>
    </xf>
    <xf numFmtId="4" fontId="119" fillId="43" borderId="20" applyNumberFormat="0" applyProtection="0">
      <alignment horizontal="right" vertical="center"/>
    </xf>
    <xf numFmtId="4" fontId="119" fillId="44" borderId="20" applyNumberFormat="0" applyProtection="0">
      <alignment horizontal="right" vertical="center"/>
    </xf>
    <xf numFmtId="4" fontId="119" fillId="45" borderId="20" applyNumberFormat="0" applyProtection="0">
      <alignment horizontal="right" vertical="center"/>
    </xf>
    <xf numFmtId="4" fontId="119" fillId="46" borderId="20" applyNumberFormat="0" applyProtection="0">
      <alignment horizontal="right" vertical="center"/>
    </xf>
    <xf numFmtId="4" fontId="119" fillId="47" borderId="20" applyNumberFormat="0" applyProtection="0">
      <alignment horizontal="right" vertical="center"/>
    </xf>
    <xf numFmtId="4" fontId="117" fillId="48" borderId="21" applyNumberFormat="0" applyProtection="0">
      <alignment horizontal="left" vertical="center" indent="1"/>
    </xf>
    <xf numFmtId="4" fontId="117" fillId="20" borderId="0" applyNumberFormat="0" applyProtection="0">
      <alignment horizontal="left" vertical="center" indent="1"/>
    </xf>
    <xf numFmtId="4" fontId="117" fillId="39" borderId="0" applyNumberFormat="0" applyProtection="0">
      <alignment horizontal="left" vertical="center" indent="1"/>
    </xf>
    <xf numFmtId="4" fontId="119" fillId="20" borderId="20" applyNumberFormat="0" applyProtection="0">
      <alignment horizontal="right" vertical="center"/>
    </xf>
    <xf numFmtId="4" fontId="121" fillId="20" borderId="0" applyNumberFormat="0" applyProtection="0">
      <alignment horizontal="left" vertical="center" indent="1"/>
    </xf>
    <xf numFmtId="4" fontId="121" fillId="39" borderId="0" applyNumberFormat="0" applyProtection="0">
      <alignment horizontal="left" vertical="center" indent="1"/>
    </xf>
    <xf numFmtId="0" fontId="2" fillId="23" borderId="22" applyNumberFormat="0" applyProtection="0">
      <alignment horizontal="left" vertical="center" indent="1"/>
    </xf>
    <xf numFmtId="0" fontId="89" fillId="49" borderId="20" applyNumberFormat="0" applyProtection="0">
      <alignment horizontal="left" vertical="top" indent="1"/>
    </xf>
    <xf numFmtId="0" fontId="2" fillId="50" borderId="22" applyNumberFormat="0" applyProtection="0">
      <alignment horizontal="left" vertical="center" indent="1"/>
    </xf>
    <xf numFmtId="0" fontId="89" fillId="51" borderId="20" applyNumberFormat="0" applyProtection="0">
      <alignment horizontal="left" vertical="top" indent="1"/>
    </xf>
    <xf numFmtId="0" fontId="2" fillId="3" borderId="22" applyNumberFormat="0" applyProtection="0">
      <alignment horizontal="left" vertical="center" indent="1"/>
    </xf>
    <xf numFmtId="0" fontId="89" fillId="3" borderId="20" applyNumberFormat="0" applyProtection="0">
      <alignment horizontal="left" vertical="top" indent="1"/>
    </xf>
    <xf numFmtId="0" fontId="2" fillId="52" borderId="22" applyNumberFormat="0" applyProtection="0">
      <alignment horizontal="left" vertical="center" indent="1"/>
    </xf>
    <xf numFmtId="0" fontId="89" fillId="52" borderId="20" applyNumberFormat="0" applyProtection="0">
      <alignment horizontal="left" vertical="top" indent="1"/>
    </xf>
    <xf numFmtId="0" fontId="89" fillId="34" borderId="23" applyNumberFormat="0">
      <protection locked="0"/>
    </xf>
    <xf numFmtId="0" fontId="122" fillId="49" borderId="24" applyBorder="0"/>
    <xf numFmtId="4" fontId="119" fillId="53" borderId="20" applyNumberFormat="0" applyProtection="0">
      <alignment vertical="center"/>
    </xf>
    <xf numFmtId="4" fontId="123" fillId="53" borderId="20" applyNumberFormat="0" applyProtection="0">
      <alignment vertical="center"/>
    </xf>
    <xf numFmtId="4" fontId="117" fillId="20" borderId="25" applyNumberFormat="0" applyProtection="0">
      <alignment horizontal="left" vertical="center" indent="1"/>
    </xf>
    <xf numFmtId="0" fontId="124" fillId="32" borderId="20" applyNumberFormat="0" applyProtection="0">
      <alignment horizontal="left" vertical="top" indent="1"/>
    </xf>
    <xf numFmtId="4" fontId="119" fillId="53" borderId="20" applyNumberFormat="0" applyProtection="0">
      <alignment horizontal="right" vertical="center"/>
    </xf>
    <xf numFmtId="4" fontId="123" fillId="53" borderId="20" applyNumberFormat="0" applyProtection="0">
      <alignment horizontal="right" vertical="center"/>
    </xf>
    <xf numFmtId="4" fontId="117" fillId="20" borderId="20" applyNumberFormat="0" applyProtection="0">
      <alignment horizontal="left" vertical="center" indent="1"/>
    </xf>
    <xf numFmtId="0" fontId="124" fillId="51" borderId="20" applyNumberFormat="0" applyProtection="0">
      <alignment horizontal="left" vertical="top" indent="1"/>
    </xf>
    <xf numFmtId="4" fontId="125" fillId="54" borderId="25" applyNumberFormat="0" applyProtection="0">
      <alignment horizontal="left" vertical="center" indent="1"/>
    </xf>
    <xf numFmtId="0" fontId="2" fillId="55" borderId="2"/>
    <xf numFmtId="4" fontId="126" fillId="53" borderId="20" applyNumberFormat="0" applyProtection="0">
      <alignment horizontal="right" vertical="center"/>
    </xf>
    <xf numFmtId="0" fontId="127" fillId="56" borderId="0"/>
    <xf numFmtId="0" fontId="3" fillId="57" borderId="0"/>
    <xf numFmtId="0" fontId="6" fillId="0" borderId="0"/>
    <xf numFmtId="40" fontId="128" fillId="0" borderId="0" applyFont="0" applyFill="0" applyBorder="0" applyAlignment="0" applyProtection="0"/>
    <xf numFmtId="214" fontId="73" fillId="58" borderId="0" applyFont="0"/>
    <xf numFmtId="0" fontId="20" fillId="0" borderId="0"/>
    <xf numFmtId="0" fontId="129" fillId="0" borderId="0" applyNumberFormat="0" applyFill="0" applyBorder="0" applyAlignment="0" applyProtection="0"/>
    <xf numFmtId="1" fontId="67" fillId="0" borderId="0"/>
    <xf numFmtId="0" fontId="130" fillId="0" borderId="0">
      <alignment textRotation="90"/>
    </xf>
    <xf numFmtId="248" fontId="131" fillId="0" borderId="0">
      <alignment vertical="center"/>
    </xf>
    <xf numFmtId="0" fontId="121" fillId="0" borderId="0"/>
    <xf numFmtId="0" fontId="67" fillId="59" borderId="0"/>
    <xf numFmtId="0" fontId="67" fillId="0" borderId="0"/>
    <xf numFmtId="0" fontId="67" fillId="0" borderId="0">
      <alignment vertical="top"/>
    </xf>
    <xf numFmtId="0" fontId="67" fillId="0" borderId="0">
      <alignment vertical="top"/>
    </xf>
    <xf numFmtId="0" fontId="132" fillId="20" borderId="0"/>
    <xf numFmtId="0" fontId="133" fillId="0" borderId="0">
      <alignment horizontal="left" vertical="center"/>
    </xf>
    <xf numFmtId="40" fontId="134" fillId="0" borderId="0" applyBorder="0">
      <alignment horizontal="right"/>
    </xf>
    <xf numFmtId="37" fontId="29" fillId="0" borderId="5" applyNumberFormat="0"/>
    <xf numFmtId="0" fontId="135" fillId="0" borderId="26" applyNumberFormat="0" applyAlignment="0" applyProtection="0"/>
    <xf numFmtId="0" fontId="4" fillId="22" borderId="6" applyNumberFormat="0" applyFont="0" applyAlignment="0"/>
    <xf numFmtId="0" fontId="136" fillId="0" borderId="0" applyBorder="0" applyProtection="0">
      <alignment vertical="center"/>
    </xf>
    <xf numFmtId="0" fontId="136" fillId="0" borderId="3" applyBorder="0" applyProtection="0">
      <alignment horizontal="right" vertical="center"/>
    </xf>
    <xf numFmtId="0" fontId="137" fillId="60" borderId="0" applyBorder="0" applyProtection="0">
      <alignment horizontal="centerContinuous" vertical="center"/>
    </xf>
    <xf numFmtId="0" fontId="137" fillId="61" borderId="3" applyBorder="0" applyProtection="0">
      <alignment horizontal="centerContinuous" vertical="center"/>
    </xf>
    <xf numFmtId="0" fontId="138" fillId="0" borderId="0"/>
    <xf numFmtId="0" fontId="107" fillId="0" borderId="0"/>
    <xf numFmtId="0" fontId="139" fillId="0" borderId="0" applyFill="0" applyBorder="0" applyProtection="0">
      <alignment horizontal="left"/>
    </xf>
    <xf numFmtId="0" fontId="97" fillId="0" borderId="27" applyFill="0" applyBorder="0" applyProtection="0">
      <alignment horizontal="left" vertical="top"/>
    </xf>
    <xf numFmtId="0" fontId="66" fillId="0" borderId="0">
      <alignment horizontal="centerContinuous"/>
    </xf>
    <xf numFmtId="49" fontId="68" fillId="0" borderId="0" applyFont="0" applyFill="0" applyBorder="0" applyAlignment="0" applyProtection="0"/>
    <xf numFmtId="0" fontId="140" fillId="0" borderId="0"/>
    <xf numFmtId="0" fontId="141" fillId="0" borderId="0"/>
    <xf numFmtId="0" fontId="37" fillId="31" borderId="0">
      <alignment horizontal="right"/>
    </xf>
    <xf numFmtId="249" fontId="54" fillId="0" borderId="0"/>
    <xf numFmtId="0" fontId="4" fillId="0" borderId="0" applyFont="0" applyFill="0" applyBorder="0" applyAlignment="0" applyProtection="0"/>
    <xf numFmtId="198" fontId="29" fillId="0" borderId="8" applyFill="0"/>
    <xf numFmtId="37" fontId="29" fillId="0" borderId="28" applyNumberFormat="0" applyFill="0"/>
    <xf numFmtId="0" fontId="142" fillId="0" borderId="0">
      <alignment horizontal="fill"/>
    </xf>
    <xf numFmtId="37" fontId="2" fillId="21" borderId="0" applyNumberFormat="0" applyBorder="0" applyAlignment="0" applyProtection="0"/>
    <xf numFmtId="37" fontId="89" fillId="0" borderId="0"/>
    <xf numFmtId="37" fontId="89" fillId="22" borderId="0" applyNumberFormat="0" applyBorder="0" applyAlignment="0" applyProtection="0"/>
    <xf numFmtId="3" fontId="143" fillId="0" borderId="14" applyProtection="0"/>
    <xf numFmtId="4" fontId="71" fillId="0" borderId="0">
      <protection locked="0"/>
    </xf>
    <xf numFmtId="250" fontId="67" fillId="0" borderId="0" applyFont="0" applyFill="0" applyBorder="0" applyAlignment="0" applyProtection="0"/>
    <xf numFmtId="251" fontId="67" fillId="0" borderId="0" applyFont="0" applyFill="0" applyBorder="0" applyAlignment="0" applyProtection="0"/>
    <xf numFmtId="0" fontId="67" fillId="0" borderId="0" applyFont="0" applyFill="0" applyBorder="0">
      <alignment horizontal="right" vertical="center" wrapText="1"/>
    </xf>
    <xf numFmtId="233" fontId="12" fillId="0" borderId="0"/>
    <xf numFmtId="1" fontId="144" fillId="0" borderId="0">
      <alignment horizontal="center"/>
    </xf>
    <xf numFmtId="1" fontId="145" fillId="0" borderId="0">
      <alignment horizontal="centerContinuous"/>
    </xf>
    <xf numFmtId="0" fontId="4" fillId="0" borderId="0"/>
    <xf numFmtId="0" fontId="4" fillId="0" borderId="0"/>
    <xf numFmtId="44" fontId="4" fillId="0" borderId="0" applyFont="0" applyFill="0" applyBorder="0" applyAlignment="0" applyProtection="0"/>
    <xf numFmtId="0" fontId="1" fillId="0" borderId="0"/>
    <xf numFmtId="43" fontId="4" fillId="0" borderId="0" applyFont="0" applyFill="0" applyBorder="0" applyAlignment="0" applyProtection="0"/>
  </cellStyleXfs>
  <cellXfs count="1028">
    <xf numFmtId="174" fontId="0" fillId="0" borderId="0" xfId="0"/>
    <xf numFmtId="0" fontId="24" fillId="0" borderId="0" xfId="312"/>
    <xf numFmtId="0" fontId="11" fillId="0" borderId="0" xfId="312" applyFont="1" applyProtection="1">
      <protection locked="0"/>
    </xf>
    <xf numFmtId="0" fontId="11" fillId="0" borderId="0" xfId="312" applyFont="1" applyAlignment="1" applyProtection="1">
      <alignment horizontal="left"/>
      <protection locked="0"/>
    </xf>
    <xf numFmtId="0" fontId="11" fillId="0" borderId="0" xfId="312" applyFont="1" applyAlignment="1" applyProtection="1">
      <alignment horizontal="center"/>
      <protection locked="0"/>
    </xf>
    <xf numFmtId="0" fontId="11" fillId="0" borderId="0" xfId="312" applyFont="1" applyAlignment="1" applyProtection="1">
      <alignment horizontal="right"/>
      <protection locked="0"/>
    </xf>
    <xf numFmtId="0" fontId="11" fillId="0" borderId="0" xfId="312" applyFont="1" applyAlignment="1">
      <alignment horizontal="right"/>
    </xf>
    <xf numFmtId="0" fontId="11" fillId="0" borderId="0" xfId="312" applyFont="1"/>
    <xf numFmtId="3" fontId="11" fillId="0" borderId="0" xfId="312" applyNumberFormat="1" applyFont="1"/>
    <xf numFmtId="0" fontId="24" fillId="0" borderId="0" xfId="312" applyAlignment="1" applyProtection="1">
      <alignment horizontal="center"/>
      <protection locked="0"/>
    </xf>
    <xf numFmtId="49" fontId="11" fillId="0" borderId="0" xfId="312" quotePrefix="1" applyNumberFormat="1" applyFont="1" applyAlignment="1">
      <alignment horizontal="center"/>
    </xf>
    <xf numFmtId="49" fontId="11" fillId="0" borderId="0" xfId="312" applyNumberFormat="1" applyFont="1"/>
    <xf numFmtId="0" fontId="24" fillId="0" borderId="13" xfId="312" applyBorder="1" applyAlignment="1" applyProtection="1">
      <alignment horizontal="center"/>
      <protection locked="0"/>
    </xf>
    <xf numFmtId="0" fontId="11" fillId="0" borderId="13" xfId="312" applyFont="1" applyBorder="1" applyAlignment="1" applyProtection="1">
      <alignment horizontal="center"/>
      <protection locked="0"/>
    </xf>
    <xf numFmtId="0" fontId="11" fillId="0" borderId="13" xfId="312" applyFont="1" applyBorder="1" applyAlignment="1" applyProtection="1">
      <alignment horizontal="centerContinuous"/>
      <protection locked="0"/>
    </xf>
    <xf numFmtId="166" fontId="11" fillId="0" borderId="0" xfId="312" applyNumberFormat="1" applyFont="1"/>
    <xf numFmtId="0" fontId="35" fillId="0" borderId="0" xfId="312" applyFont="1" applyAlignment="1">
      <alignment horizontal="left"/>
    </xf>
    <xf numFmtId="3" fontId="11" fillId="0" borderId="13" xfId="312" applyNumberFormat="1" applyFont="1" applyBorder="1"/>
    <xf numFmtId="3" fontId="11" fillId="0" borderId="0" xfId="312" applyNumberFormat="1" applyFont="1" applyAlignment="1">
      <alignment horizontal="fill"/>
    </xf>
    <xf numFmtId="0" fontId="11" fillId="0" borderId="0" xfId="312" applyFont="1" applyAlignment="1">
      <alignment horizontal="left"/>
    </xf>
    <xf numFmtId="0" fontId="34" fillId="0" borderId="0" xfId="312" quotePrefix="1" applyFont="1" applyAlignment="1">
      <alignment horizontal="left"/>
    </xf>
    <xf numFmtId="0" fontId="35" fillId="0" borderId="0" xfId="312" quotePrefix="1" applyFont="1" applyAlignment="1">
      <alignment horizontal="left" indent="1"/>
    </xf>
    <xf numFmtId="169" fontId="11" fillId="0" borderId="0" xfId="312" applyNumberFormat="1" applyFont="1"/>
    <xf numFmtId="3" fontId="24" fillId="0" borderId="0" xfId="312" applyNumberFormat="1"/>
    <xf numFmtId="0" fontId="11" fillId="0" borderId="0" xfId="312" applyFont="1" applyAlignment="1">
      <alignment horizontal="center"/>
    </xf>
    <xf numFmtId="49" fontId="11" fillId="0" borderId="0" xfId="312" applyNumberFormat="1" applyFont="1" applyAlignment="1">
      <alignment horizontal="left"/>
    </xf>
    <xf numFmtId="49" fontId="11" fillId="0" borderId="0" xfId="312" applyNumberFormat="1" applyFont="1" applyAlignment="1">
      <alignment horizontal="center"/>
    </xf>
    <xf numFmtId="3" fontId="6" fillId="0" borderId="0" xfId="312" applyNumberFormat="1" applyFont="1" applyAlignment="1">
      <alignment horizontal="center"/>
    </xf>
    <xf numFmtId="0" fontId="6" fillId="0" borderId="0" xfId="312" applyFont="1" applyAlignment="1" applyProtection="1">
      <alignment horizontal="center"/>
      <protection locked="0"/>
    </xf>
    <xf numFmtId="0" fontId="24" fillId="0" borderId="0" xfId="312" applyAlignment="1">
      <alignment horizontal="center"/>
    </xf>
    <xf numFmtId="0" fontId="6" fillId="0" borderId="0" xfId="312" applyFont="1" applyAlignment="1">
      <alignment horizontal="center"/>
    </xf>
    <xf numFmtId="3" fontId="6" fillId="0" borderId="0" xfId="312" applyNumberFormat="1" applyFont="1"/>
    <xf numFmtId="0" fontId="33" fillId="0" borderId="0" xfId="312" applyFont="1" applyAlignment="1" applyProtection="1">
      <alignment horizontal="center"/>
      <protection locked="0"/>
    </xf>
    <xf numFmtId="0" fontId="6" fillId="0" borderId="0" xfId="312" applyFont="1"/>
    <xf numFmtId="0" fontId="35" fillId="0" borderId="0" xfId="312" quotePrefix="1" applyFont="1" applyAlignment="1">
      <alignment horizontal="left"/>
    </xf>
    <xf numFmtId="164" fontId="11" fillId="0" borderId="0" xfId="312" applyNumberFormat="1" applyFont="1" applyAlignment="1">
      <alignment horizontal="center"/>
    </xf>
    <xf numFmtId="165" fontId="11" fillId="0" borderId="0" xfId="312" applyNumberFormat="1" applyFont="1" applyAlignment="1">
      <alignment horizontal="right"/>
    </xf>
    <xf numFmtId="0" fontId="24" fillId="0" borderId="0" xfId="312" applyProtection="1">
      <protection locked="0"/>
    </xf>
    <xf numFmtId="0" fontId="37" fillId="0" borderId="0" xfId="312" applyFont="1" applyAlignment="1">
      <alignment horizontal="center"/>
    </xf>
    <xf numFmtId="3" fontId="37" fillId="0" borderId="0" xfId="312" applyNumberFormat="1" applyFont="1"/>
    <xf numFmtId="3" fontId="35" fillId="0" borderId="0" xfId="312" quotePrefix="1" applyNumberFormat="1" applyFont="1" applyAlignment="1">
      <alignment horizontal="left"/>
    </xf>
    <xf numFmtId="172" fontId="11" fillId="0" borderId="0" xfId="312" applyNumberFormat="1" applyFont="1" applyAlignment="1">
      <alignment horizontal="left"/>
    </xf>
    <xf numFmtId="166" fontId="11" fillId="0" borderId="0" xfId="312" applyNumberFormat="1" applyFont="1" applyAlignment="1">
      <alignment horizontal="center"/>
    </xf>
    <xf numFmtId="164" fontId="11" fillId="0" borderId="0" xfId="312" applyNumberFormat="1" applyFont="1" applyAlignment="1">
      <alignment horizontal="left"/>
    </xf>
    <xf numFmtId="10" fontId="11" fillId="0" borderId="0" xfId="312" applyNumberFormat="1" applyFont="1" applyAlignment="1">
      <alignment horizontal="left"/>
    </xf>
    <xf numFmtId="164" fontId="11" fillId="0" borderId="0" xfId="312" applyNumberFormat="1" applyFont="1" applyAlignment="1" applyProtection="1">
      <alignment horizontal="left"/>
      <protection locked="0"/>
    </xf>
    <xf numFmtId="3" fontId="11" fillId="0" borderId="0" xfId="312" applyNumberFormat="1" applyFont="1" applyAlignment="1">
      <alignment horizontal="right"/>
    </xf>
    <xf numFmtId="167" fontId="11" fillId="0" borderId="0" xfId="312" applyNumberFormat="1" applyFont="1"/>
    <xf numFmtId="0" fontId="38" fillId="0" borderId="0" xfId="312" applyFont="1"/>
    <xf numFmtId="0" fontId="34" fillId="0" borderId="0" xfId="312" applyFont="1" applyAlignment="1">
      <alignment horizontal="left" indent="1"/>
    </xf>
    <xf numFmtId="0" fontId="24" fillId="0" borderId="0" xfId="312" applyAlignment="1">
      <alignment horizontal="right"/>
    </xf>
    <xf numFmtId="3" fontId="11" fillId="0" borderId="0" xfId="312" applyNumberFormat="1" applyFont="1" applyAlignment="1">
      <alignment horizontal="center"/>
    </xf>
    <xf numFmtId="3" fontId="11" fillId="0" borderId="13" xfId="312" applyNumberFormat="1" applyFont="1" applyBorder="1" applyAlignment="1">
      <alignment horizontal="center"/>
    </xf>
    <xf numFmtId="4" fontId="11" fillId="0" borderId="0" xfId="312" applyNumberFormat="1" applyFont="1"/>
    <xf numFmtId="3" fontId="11" fillId="0" borderId="0" xfId="312" quotePrefix="1" applyNumberFormat="1" applyFont="1"/>
    <xf numFmtId="0" fontId="24" fillId="0" borderId="0" xfId="312" applyProtection="1"/>
    <xf numFmtId="174" fontId="11" fillId="0" borderId="0" xfId="312" applyNumberFormat="1" applyFont="1" applyProtection="1">
      <protection locked="0"/>
    </xf>
    <xf numFmtId="0" fontId="39" fillId="0" borderId="0" xfId="312" applyFont="1"/>
    <xf numFmtId="3" fontId="24" fillId="0" borderId="0" xfId="312" applyNumberFormat="1" applyProtection="1"/>
    <xf numFmtId="0" fontId="40" fillId="0" borderId="0" xfId="312" applyFont="1" applyAlignment="1" applyProtection="1">
      <alignment horizontal="center"/>
      <protection locked="0"/>
    </xf>
    <xf numFmtId="0" fontId="39" fillId="0" borderId="0" xfId="312" applyFont="1" applyAlignment="1" applyProtection="1">
      <alignment horizontal="center"/>
      <protection locked="0"/>
    </xf>
    <xf numFmtId="0" fontId="39" fillId="0" borderId="0" xfId="312" applyFont="1" applyProtection="1">
      <protection locked="0"/>
    </xf>
    <xf numFmtId="3" fontId="39" fillId="0" borderId="0" xfId="312" applyNumberFormat="1" applyFont="1"/>
    <xf numFmtId="0" fontId="41" fillId="0" borderId="0" xfId="312" applyFont="1" applyAlignment="1" applyProtection="1">
      <alignment horizontal="center"/>
      <protection locked="0"/>
    </xf>
    <xf numFmtId="0" fontId="39" fillId="0" borderId="13" xfId="312" applyFont="1" applyBorder="1" applyAlignment="1" applyProtection="1">
      <alignment horizontal="center"/>
      <protection locked="0"/>
    </xf>
    <xf numFmtId="0" fontId="42" fillId="0" borderId="0" xfId="312" quotePrefix="1" applyFont="1" applyAlignment="1">
      <alignment horizontal="left"/>
    </xf>
    <xf numFmtId="0" fontId="42" fillId="0" borderId="0" xfId="312" applyFont="1" applyAlignment="1">
      <alignment horizontal="left"/>
    </xf>
    <xf numFmtId="0" fontId="11" fillId="0" borderId="0" xfId="312" quotePrefix="1" applyFont="1" applyAlignment="1">
      <alignment horizontal="left"/>
    </xf>
    <xf numFmtId="0" fontId="11" fillId="0" borderId="0" xfId="312" quotePrefix="1" applyFont="1" applyAlignment="1">
      <alignment horizontal="left" indent="1"/>
    </xf>
    <xf numFmtId="0" fontId="11" fillId="0" borderId="0" xfId="312" quotePrefix="1" applyFont="1" applyAlignment="1" applyProtection="1">
      <alignment horizontal="left"/>
      <protection locked="0"/>
    </xf>
    <xf numFmtId="175" fontId="11" fillId="0" borderId="0" xfId="154" applyNumberFormat="1" applyFont="1" applyFill="1" applyAlignment="1"/>
    <xf numFmtId="0" fontId="36" fillId="0" borderId="0" xfId="312" applyFont="1"/>
    <xf numFmtId="3" fontId="34" fillId="0" borderId="0" xfId="312" applyNumberFormat="1" applyFont="1" applyAlignment="1">
      <alignment horizontal="right"/>
    </xf>
    <xf numFmtId="3" fontId="43" fillId="0" borderId="0" xfId="312" applyNumberFormat="1" applyFont="1" applyAlignment="1">
      <alignment horizontal="right"/>
    </xf>
    <xf numFmtId="168" fontId="11" fillId="0" borderId="0" xfId="312" applyNumberFormat="1" applyFont="1"/>
    <xf numFmtId="168" fontId="11" fillId="0" borderId="0" xfId="312" applyNumberFormat="1" applyFont="1" applyAlignment="1">
      <alignment horizontal="center"/>
    </xf>
    <xf numFmtId="3" fontId="42" fillId="0" borderId="0" xfId="312" quotePrefix="1" applyNumberFormat="1" applyFont="1" applyAlignment="1">
      <alignment horizontal="right"/>
    </xf>
    <xf numFmtId="3" fontId="35" fillId="0" borderId="0" xfId="312" applyNumberFormat="1" applyFont="1"/>
    <xf numFmtId="3" fontId="42" fillId="0" borderId="0" xfId="312" applyNumberFormat="1" applyFont="1" applyAlignment="1">
      <alignment horizontal="right"/>
    </xf>
    <xf numFmtId="3" fontId="43" fillId="0" borderId="0" xfId="312" applyNumberFormat="1" applyFont="1"/>
    <xf numFmtId="42" fontId="11" fillId="0" borderId="0" xfId="312" applyNumberFormat="1" applyFont="1"/>
    <xf numFmtId="42" fontId="11" fillId="0" borderId="0" xfId="312" applyNumberFormat="1" applyFont="1" applyAlignment="1" applyProtection="1">
      <alignment horizontal="right"/>
      <protection locked="0"/>
    </xf>
    <xf numFmtId="3" fontId="42" fillId="0" borderId="0" xfId="312" applyNumberFormat="1" applyFont="1"/>
    <xf numFmtId="175" fontId="11" fillId="0" borderId="0" xfId="154" applyNumberFormat="1" applyFont="1" applyFill="1" applyBorder="1" applyAlignment="1"/>
    <xf numFmtId="0" fontId="0" fillId="0" borderId="0" xfId="0" applyNumberFormat="1"/>
    <xf numFmtId="0" fontId="0" fillId="0" borderId="0" xfId="312" applyFont="1"/>
    <xf numFmtId="175" fontId="46" fillId="0" borderId="0" xfId="154" applyNumberFormat="1" applyFont="1" applyFill="1" applyBorder="1"/>
    <xf numFmtId="0" fontId="51" fillId="0" borderId="29" xfId="312" applyFont="1" applyBorder="1"/>
    <xf numFmtId="175" fontId="11" fillId="0" borderId="0" xfId="154" applyNumberFormat="1" applyFont="1" applyFill="1" applyBorder="1"/>
    <xf numFmtId="42" fontId="24" fillId="0" borderId="0" xfId="312" applyNumberFormat="1"/>
    <xf numFmtId="42" fontId="11" fillId="0" borderId="0" xfId="312" applyNumberFormat="1" applyFont="1" applyProtection="1">
      <protection locked="0"/>
    </xf>
    <xf numFmtId="175" fontId="24" fillId="0" borderId="0" xfId="154" applyNumberFormat="1" applyFont="1" applyAlignment="1"/>
    <xf numFmtId="175" fontId="24" fillId="0" borderId="13" xfId="154" applyNumberFormat="1" applyFont="1" applyBorder="1" applyAlignment="1"/>
    <xf numFmtId="0" fontId="4" fillId="0" borderId="0" xfId="300"/>
    <xf numFmtId="173" fontId="11" fillId="0" borderId="0" xfId="312" applyNumberFormat="1" applyFont="1"/>
    <xf numFmtId="3" fontId="11" fillId="0" borderId="0" xfId="312" applyNumberFormat="1" applyFont="1" applyAlignment="1">
      <alignment horizontal="left"/>
    </xf>
    <xf numFmtId="175" fontId="11" fillId="0" borderId="0" xfId="154" quotePrefix="1" applyNumberFormat="1" applyFont="1" applyFill="1" applyBorder="1" applyAlignment="1"/>
    <xf numFmtId="175" fontId="11" fillId="0" borderId="0" xfId="154" quotePrefix="1" applyNumberFormat="1" applyFont="1" applyFill="1" applyBorder="1" applyAlignment="1" applyProtection="1">
      <protection locked="0"/>
    </xf>
    <xf numFmtId="173" fontId="11" fillId="0" borderId="0" xfId="312" applyNumberFormat="1" applyFont="1" applyProtection="1">
      <protection locked="0"/>
    </xf>
    <xf numFmtId="175" fontId="11" fillId="0" borderId="0" xfId="154" quotePrefix="1" applyNumberFormat="1" applyFont="1" applyFill="1" applyBorder="1" applyProtection="1">
      <protection locked="0"/>
    </xf>
    <xf numFmtId="175" fontId="24" fillId="0" borderId="0" xfId="312" applyNumberFormat="1"/>
    <xf numFmtId="173" fontId="24" fillId="0" borderId="0" xfId="312" applyNumberFormat="1"/>
    <xf numFmtId="175" fontId="11" fillId="0" borderId="0" xfId="154" applyNumberFormat="1" applyFont="1"/>
    <xf numFmtId="175" fontId="11" fillId="0" borderId="0" xfId="154" applyNumberFormat="1" applyFont="1" applyAlignment="1"/>
    <xf numFmtId="175" fontId="11" fillId="0" borderId="30" xfId="154" applyNumberFormat="1" applyFont="1" applyBorder="1" applyAlignment="1"/>
    <xf numFmtId="175" fontId="11" fillId="0" borderId="0" xfId="154" applyNumberFormat="1" applyFont="1" applyAlignment="1" applyProtection="1">
      <protection locked="0"/>
    </xf>
    <xf numFmtId="175" fontId="11" fillId="0" borderId="0" xfId="154" applyNumberFormat="1" applyFont="1" applyAlignment="1" applyProtection="1">
      <alignment horizontal="right"/>
      <protection locked="0"/>
    </xf>
    <xf numFmtId="175" fontId="11" fillId="0" borderId="0" xfId="154" applyNumberFormat="1" applyFont="1" applyAlignment="1">
      <alignment horizontal="right"/>
    </xf>
    <xf numFmtId="175" fontId="11" fillId="0" borderId="0" xfId="154" applyNumberFormat="1" applyFont="1" applyProtection="1">
      <protection locked="0"/>
    </xf>
    <xf numFmtId="175" fontId="11" fillId="0" borderId="0" xfId="154" applyNumberFormat="1" applyFont="1" applyAlignment="1">
      <alignment horizontal="center"/>
    </xf>
    <xf numFmtId="175" fontId="24" fillId="0" borderId="0" xfId="154" applyNumberFormat="1" applyFont="1" applyProtection="1">
      <protection locked="0"/>
    </xf>
    <xf numFmtId="175" fontId="6" fillId="0" borderId="0" xfId="154" applyNumberFormat="1" applyFont="1" applyAlignment="1" applyProtection="1">
      <alignment horizontal="center"/>
      <protection locked="0"/>
    </xf>
    <xf numFmtId="175" fontId="33" fillId="0" borderId="0" xfId="154" applyNumberFormat="1" applyFont="1" applyAlignment="1" applyProtection="1">
      <alignment horizontal="center"/>
      <protection locked="0"/>
    </xf>
    <xf numFmtId="175" fontId="11" fillId="21" borderId="0" xfId="154" applyNumberFormat="1" applyFont="1" applyFill="1" applyAlignment="1"/>
    <xf numFmtId="0" fontId="29" fillId="0" borderId="31" xfId="300" applyFont="1" applyBorder="1" applyAlignment="1">
      <alignment horizontal="center"/>
    </xf>
    <xf numFmtId="175" fontId="4" fillId="0" borderId="0" xfId="300" applyNumberFormat="1"/>
    <xf numFmtId="0" fontId="46" fillId="0" borderId="0" xfId="300" applyFont="1"/>
    <xf numFmtId="175" fontId="46" fillId="0" borderId="0" xfId="172" applyNumberFormat="1" applyFont="1" applyAlignment="1"/>
    <xf numFmtId="0" fontId="50" fillId="0" borderId="0" xfId="300" applyFont="1"/>
    <xf numFmtId="0" fontId="4" fillId="0" borderId="0" xfId="300" applyAlignment="1">
      <alignment horizontal="center"/>
    </xf>
    <xf numFmtId="175" fontId="46" fillId="0" borderId="0" xfId="172" applyNumberFormat="1" applyFont="1" applyFill="1" applyAlignment="1"/>
    <xf numFmtId="175" fontId="46" fillId="21" borderId="0" xfId="172" applyNumberFormat="1" applyFont="1" applyFill="1" applyAlignment="1"/>
    <xf numFmtId="175" fontId="46" fillId="0" borderId="0" xfId="172" applyNumberFormat="1" applyFont="1" applyFill="1" applyBorder="1" applyAlignment="1"/>
    <xf numFmtId="175" fontId="4" fillId="0" borderId="0" xfId="172" applyNumberFormat="1" applyFill="1" applyAlignment="1"/>
    <xf numFmtId="175" fontId="4" fillId="0" borderId="0" xfId="172" applyNumberFormat="1" applyAlignment="1"/>
    <xf numFmtId="0" fontId="45" fillId="0" borderId="0" xfId="300" applyFont="1"/>
    <xf numFmtId="175" fontId="46" fillId="0" borderId="0" xfId="172" applyNumberFormat="1" applyFont="1" applyFill="1" applyBorder="1" applyAlignment="1">
      <alignment wrapText="1"/>
    </xf>
    <xf numFmtId="0" fontId="4" fillId="0" borderId="0" xfId="0" applyNumberFormat="1" applyFont="1"/>
    <xf numFmtId="175" fontId="4" fillId="0" borderId="0" xfId="172" applyNumberFormat="1" applyFont="1" applyFill="1" applyBorder="1"/>
    <xf numFmtId="0" fontId="4" fillId="0" borderId="32" xfId="300" applyBorder="1"/>
    <xf numFmtId="0" fontId="4" fillId="0" borderId="13" xfId="300" applyBorder="1"/>
    <xf numFmtId="0" fontId="4" fillId="0" borderId="33" xfId="300" applyBorder="1" applyAlignment="1">
      <alignment horizontal="center"/>
    </xf>
    <xf numFmtId="0" fontId="4" fillId="0" borderId="29" xfId="300" applyBorder="1"/>
    <xf numFmtId="0" fontId="4" fillId="0" borderId="0" xfId="300" applyAlignment="1">
      <alignment horizontal="center" wrapText="1"/>
    </xf>
    <xf numFmtId="3" fontId="4" fillId="0" borderId="0" xfId="300" applyNumberFormat="1" applyAlignment="1">
      <alignment horizontal="center"/>
    </xf>
    <xf numFmtId="175" fontId="4" fillId="0" borderId="0" xfId="172" applyNumberFormat="1" applyFont="1" applyFill="1" applyBorder="1" applyAlignment="1">
      <alignment horizontal="right"/>
    </xf>
    <xf numFmtId="0" fontId="4" fillId="0" borderId="0" xfId="300" applyAlignment="1">
      <alignment horizontal="right"/>
    </xf>
    <xf numFmtId="0" fontId="49" fillId="0" borderId="0" xfId="300" applyFont="1" applyAlignment="1">
      <alignment horizontal="left"/>
    </xf>
    <xf numFmtId="0" fontId="4" fillId="0" borderId="33" xfId="300" applyBorder="1"/>
    <xf numFmtId="175" fontId="4" fillId="21" borderId="0" xfId="172" applyNumberFormat="1" applyFont="1" applyFill="1" applyBorder="1" applyAlignment="1">
      <alignment horizontal="right"/>
    </xf>
    <xf numFmtId="0" fontId="4" fillId="0" borderId="0" xfId="300" applyAlignment="1">
      <alignment horizontal="left"/>
    </xf>
    <xf numFmtId="0" fontId="4" fillId="0" borderId="31" xfId="300" applyBorder="1" applyAlignment="1">
      <alignment horizontal="center"/>
    </xf>
    <xf numFmtId="175" fontId="4" fillId="0" borderId="0" xfId="172" applyNumberFormat="1" applyFont="1" applyFill="1" applyBorder="1" applyAlignment="1">
      <alignment horizontal="center"/>
    </xf>
    <xf numFmtId="0" fontId="49" fillId="56" borderId="34" xfId="300" applyFont="1" applyFill="1" applyBorder="1" applyAlignment="1">
      <alignment horizontal="center" wrapText="1"/>
    </xf>
    <xf numFmtId="175" fontId="29" fillId="0" borderId="0" xfId="172" applyNumberFormat="1" applyFont="1" applyBorder="1" applyAlignment="1"/>
    <xf numFmtId="175" fontId="4" fillId="0" borderId="0" xfId="172" applyNumberFormat="1" applyFont="1" applyBorder="1"/>
    <xf numFmtId="175" fontId="45" fillId="0" borderId="0" xfId="172" applyNumberFormat="1" applyFont="1" applyBorder="1" applyAlignment="1"/>
    <xf numFmtId="0" fontId="4" fillId="0" borderId="13" xfId="300" applyBorder="1" applyAlignment="1">
      <alignment horizontal="center"/>
    </xf>
    <xf numFmtId="0" fontId="4" fillId="0" borderId="29" xfId="300" applyBorder="1" applyAlignment="1">
      <alignment horizontal="center"/>
    </xf>
    <xf numFmtId="164" fontId="4" fillId="0" borderId="0" xfId="328" applyNumberFormat="1" applyFont="1" applyFill="1" applyBorder="1" applyAlignment="1"/>
    <xf numFmtId="0" fontId="29" fillId="0" borderId="0" xfId="300" applyFont="1" applyAlignment="1">
      <alignment horizontal="center"/>
    </xf>
    <xf numFmtId="3" fontId="4" fillId="0" borderId="0" xfId="300" applyNumberFormat="1"/>
    <xf numFmtId="3" fontId="51" fillId="0" borderId="0" xfId="300" applyNumberFormat="1" applyFont="1" applyAlignment="1">
      <alignment horizontal="center"/>
    </xf>
    <xf numFmtId="0" fontId="29" fillId="0" borderId="0" xfId="300" applyFont="1"/>
    <xf numFmtId="0" fontId="29" fillId="0" borderId="0" xfId="300" applyFont="1" applyAlignment="1">
      <alignment horizontal="left"/>
    </xf>
    <xf numFmtId="0" fontId="46" fillId="0" borderId="13" xfId="300" applyFont="1" applyBorder="1"/>
    <xf numFmtId="0" fontId="49" fillId="0" borderId="0" xfId="300" applyFont="1"/>
    <xf numFmtId="0" fontId="51" fillId="0" borderId="0" xfId="300" applyFont="1" applyAlignment="1">
      <alignment horizontal="center"/>
    </xf>
    <xf numFmtId="0" fontId="49" fillId="0" borderId="13" xfId="300" applyFont="1" applyBorder="1"/>
    <xf numFmtId="0" fontId="4" fillId="0" borderId="31" xfId="300" applyBorder="1"/>
    <xf numFmtId="3" fontId="29" fillId="0" borderId="0" xfId="300" applyNumberFormat="1" applyFont="1"/>
    <xf numFmtId="3" fontId="29" fillId="0" borderId="0" xfId="300" applyNumberFormat="1" applyFont="1" applyAlignment="1">
      <alignment horizontal="center"/>
    </xf>
    <xf numFmtId="0" fontId="51" fillId="0" borderId="13" xfId="300" applyFont="1" applyBorder="1" applyAlignment="1">
      <alignment horizontal="center"/>
    </xf>
    <xf numFmtId="42" fontId="4" fillId="0" borderId="0" xfId="300" applyNumberFormat="1"/>
    <xf numFmtId="171" fontId="4" fillId="0" borderId="32" xfId="325" applyNumberFormat="1" applyFont="1" applyFill="1" applyBorder="1" applyAlignment="1">
      <alignment horizontal="center"/>
    </xf>
    <xf numFmtId="0" fontId="4" fillId="0" borderId="32" xfId="300" applyBorder="1" applyAlignment="1">
      <alignment horizontal="left"/>
    </xf>
    <xf numFmtId="174" fontId="4" fillId="0" borderId="13" xfId="300" applyNumberFormat="1" applyBorder="1"/>
    <xf numFmtId="0" fontId="29" fillId="0" borderId="29" xfId="300" applyFont="1" applyBorder="1" applyAlignment="1">
      <alignment horizontal="center"/>
    </xf>
    <xf numFmtId="3" fontId="4" fillId="0" borderId="29" xfId="300" applyNumberFormat="1" applyBorder="1"/>
    <xf numFmtId="164" fontId="29" fillId="0" borderId="0" xfId="300" applyNumberFormat="1" applyFont="1" applyAlignment="1">
      <alignment horizontal="left"/>
    </xf>
    <xf numFmtId="0" fontId="4" fillId="0" borderId="0" xfId="300" applyAlignment="1">
      <alignment horizontal="left" indent="1"/>
    </xf>
    <xf numFmtId="175" fontId="29" fillId="0" borderId="13" xfId="172" applyNumberFormat="1" applyFont="1" applyFill="1" applyBorder="1"/>
    <xf numFmtId="175" fontId="29" fillId="0" borderId="0" xfId="172" applyNumberFormat="1" applyFont="1" applyFill="1" applyBorder="1"/>
    <xf numFmtId="0" fontId="49" fillId="0" borderId="0" xfId="300" applyFont="1" applyAlignment="1">
      <alignment horizontal="center"/>
    </xf>
    <xf numFmtId="175" fontId="4" fillId="0" borderId="13" xfId="172" applyNumberFormat="1" applyFont="1" applyFill="1" applyBorder="1" applyAlignment="1">
      <alignment horizontal="center"/>
    </xf>
    <xf numFmtId="0" fontId="4" fillId="0" borderId="31" xfId="312" applyFont="1" applyBorder="1" applyAlignment="1" applyProtection="1">
      <alignment horizontal="center"/>
      <protection locked="0"/>
    </xf>
    <xf numFmtId="175" fontId="29" fillId="0" borderId="34" xfId="172" applyNumberFormat="1" applyFont="1" applyFill="1" applyBorder="1"/>
    <xf numFmtId="0" fontId="29" fillId="0" borderId="34" xfId="300" applyFont="1" applyBorder="1" applyAlignment="1">
      <alignment horizontal="left"/>
    </xf>
    <xf numFmtId="0" fontId="49" fillId="56" borderId="12" xfId="300" applyFont="1" applyFill="1" applyBorder="1" applyAlignment="1">
      <alignment horizontal="center" wrapText="1"/>
    </xf>
    <xf numFmtId="175" fontId="4" fillId="0" borderId="0" xfId="172" applyNumberFormat="1" applyFont="1" applyBorder="1" applyAlignment="1"/>
    <xf numFmtId="0" fontId="11" fillId="21" borderId="0" xfId="312" quotePrefix="1" applyFont="1" applyFill="1" applyAlignment="1" applyProtection="1">
      <alignment horizontal="right"/>
      <protection locked="0"/>
    </xf>
    <xf numFmtId="0" fontId="11" fillId="21" borderId="0" xfId="312" applyFont="1" applyFill="1"/>
    <xf numFmtId="0" fontId="24" fillId="21" borderId="0" xfId="312" applyFill="1"/>
    <xf numFmtId="174" fontId="6" fillId="0" borderId="0" xfId="0" applyFont="1" applyAlignment="1">
      <alignment horizontal="center"/>
    </xf>
    <xf numFmtId="174" fontId="56" fillId="0" borderId="0" xfId="0" applyFont="1"/>
    <xf numFmtId="175" fontId="56" fillId="0" borderId="0" xfId="0" applyNumberFormat="1" applyFont="1" applyProtection="1">
      <protection locked="0"/>
    </xf>
    <xf numFmtId="175" fontId="0" fillId="0" borderId="0" xfId="0" applyNumberFormat="1"/>
    <xf numFmtId="179" fontId="0" fillId="0" borderId="0" xfId="0" applyNumberFormat="1"/>
    <xf numFmtId="176" fontId="0" fillId="0" borderId="0" xfId="190" applyNumberFormat="1" applyFont="1"/>
    <xf numFmtId="176" fontId="0" fillId="0" borderId="0" xfId="0" applyNumberFormat="1"/>
    <xf numFmtId="174" fontId="11" fillId="0" borderId="0" xfId="0" applyFont="1" applyProtection="1">
      <protection locked="0"/>
    </xf>
    <xf numFmtId="174" fontId="46" fillId="0" borderId="0" xfId="0" applyFont="1" applyAlignment="1" applyProtection="1">
      <alignment horizontal="center"/>
      <protection locked="0"/>
    </xf>
    <xf numFmtId="175" fontId="46" fillId="0" borderId="0" xfId="0" applyNumberFormat="1" applyFont="1" applyProtection="1">
      <protection locked="0"/>
    </xf>
    <xf numFmtId="174" fontId="45" fillId="0" borderId="0" xfId="0" applyFont="1" applyAlignment="1" applyProtection="1">
      <alignment horizontal="center"/>
      <protection locked="0"/>
    </xf>
    <xf numFmtId="175" fontId="46" fillId="0" borderId="13" xfId="0" applyNumberFormat="1" applyFont="1" applyBorder="1" applyProtection="1">
      <protection locked="0"/>
    </xf>
    <xf numFmtId="174" fontId="46" fillId="0" borderId="13" xfId="0" applyFont="1" applyBorder="1" applyAlignment="1" applyProtection="1">
      <alignment horizontal="center"/>
      <protection locked="0"/>
    </xf>
    <xf numFmtId="174" fontId="11" fillId="0" borderId="13" xfId="0" applyFont="1" applyBorder="1" applyProtection="1">
      <protection locked="0"/>
    </xf>
    <xf numFmtId="0" fontId="45" fillId="0" borderId="0" xfId="0" applyNumberFormat="1" applyFont="1" applyAlignment="1" applyProtection="1">
      <alignment horizontal="left"/>
      <protection locked="0"/>
    </xf>
    <xf numFmtId="174" fontId="45" fillId="0" borderId="0" xfId="0" applyFont="1" applyAlignment="1" applyProtection="1">
      <alignment horizontal="center" wrapText="1"/>
      <protection locked="0"/>
    </xf>
    <xf numFmtId="175" fontId="45" fillId="0" borderId="0" xfId="0" applyNumberFormat="1" applyFont="1" applyAlignment="1" applyProtection="1">
      <alignment horizontal="center" wrapText="1"/>
      <protection locked="0"/>
    </xf>
    <xf numFmtId="175" fontId="45" fillId="0" borderId="0" xfId="0" applyNumberFormat="1" applyFont="1" applyAlignment="1" applyProtection="1">
      <alignment horizontal="center"/>
      <protection locked="0"/>
    </xf>
    <xf numFmtId="179" fontId="46" fillId="0" borderId="0" xfId="325" applyNumberFormat="1" applyFont="1" applyFill="1" applyProtection="1">
      <protection locked="0"/>
    </xf>
    <xf numFmtId="175" fontId="46" fillId="0" borderId="3" xfId="154" applyNumberFormat="1" applyFont="1" applyFill="1" applyBorder="1" applyProtection="1">
      <protection locked="0"/>
    </xf>
    <xf numFmtId="174" fontId="46" fillId="0" borderId="0" xfId="0" applyFont="1"/>
    <xf numFmtId="174" fontId="56" fillId="0" borderId="0" xfId="0" applyFont="1" applyProtection="1">
      <protection locked="0"/>
    </xf>
    <xf numFmtId="174" fontId="0" fillId="0" borderId="0" xfId="0" applyProtection="1">
      <protection locked="0"/>
    </xf>
    <xf numFmtId="174" fontId="46" fillId="0" borderId="0" xfId="0" applyFont="1" applyProtection="1">
      <protection locked="0"/>
    </xf>
    <xf numFmtId="175" fontId="46" fillId="0" borderId="0" xfId="0" applyNumberFormat="1" applyFont="1" applyAlignment="1" applyProtection="1">
      <alignment horizontal="left"/>
      <protection locked="0"/>
    </xf>
    <xf numFmtId="174" fontId="53" fillId="0" borderId="0" xfId="0" applyFont="1" applyAlignment="1" applyProtection="1">
      <alignment horizontal="center"/>
      <protection locked="0"/>
    </xf>
    <xf numFmtId="175" fontId="46" fillId="0" borderId="0" xfId="154" applyNumberFormat="1" applyFont="1" applyFill="1" applyProtection="1">
      <protection locked="0"/>
    </xf>
    <xf numFmtId="179" fontId="46" fillId="0" borderId="0" xfId="0" applyNumberFormat="1" applyFont="1" applyProtection="1">
      <protection locked="0"/>
    </xf>
    <xf numFmtId="175" fontId="45" fillId="0" borderId="0" xfId="154" applyNumberFormat="1" applyFont="1" applyFill="1" applyProtection="1">
      <protection locked="0"/>
    </xf>
    <xf numFmtId="175" fontId="45" fillId="0" borderId="0" xfId="154" applyNumberFormat="1" applyFont="1" applyFill="1" applyAlignment="1" applyProtection="1">
      <alignment horizontal="center"/>
      <protection locked="0"/>
    </xf>
    <xf numFmtId="174" fontId="53" fillId="0" borderId="0" xfId="0" applyFont="1" applyProtection="1">
      <protection locked="0"/>
    </xf>
    <xf numFmtId="175" fontId="45" fillId="0" borderId="0" xfId="0" applyNumberFormat="1" applyFont="1" applyProtection="1">
      <protection locked="0"/>
    </xf>
    <xf numFmtId="176" fontId="56" fillId="0" borderId="0" xfId="190" applyNumberFormat="1" applyFont="1" applyFill="1"/>
    <xf numFmtId="0" fontId="4" fillId="0" borderId="34" xfId="300" applyBorder="1"/>
    <xf numFmtId="0" fontId="4" fillId="0" borderId="36" xfId="300" applyBorder="1"/>
    <xf numFmtId="174" fontId="14" fillId="0" borderId="0" xfId="0" applyFont="1"/>
    <xf numFmtId="0" fontId="14" fillId="0" borderId="0" xfId="300" applyFont="1"/>
    <xf numFmtId="3" fontId="14" fillId="0" borderId="0" xfId="300" applyNumberFormat="1" applyFont="1" applyAlignment="1">
      <alignment horizontal="center"/>
    </xf>
    <xf numFmtId="174" fontId="14" fillId="0" borderId="29" xfId="0" applyFont="1" applyBorder="1"/>
    <xf numFmtId="0" fontId="55" fillId="0" borderId="31" xfId="300" applyFont="1" applyBorder="1" applyAlignment="1">
      <alignment horizontal="center"/>
    </xf>
    <xf numFmtId="0" fontId="55" fillId="0" borderId="0" xfId="300" applyFont="1"/>
    <xf numFmtId="3" fontId="55" fillId="0" borderId="0" xfId="300" applyNumberFormat="1" applyFont="1" applyAlignment="1">
      <alignment horizontal="center"/>
    </xf>
    <xf numFmtId="0" fontId="55" fillId="0" borderId="31" xfId="300" applyFont="1" applyBorder="1"/>
    <xf numFmtId="0" fontId="55" fillId="0" borderId="29" xfId="300" applyFont="1" applyBorder="1"/>
    <xf numFmtId="175" fontId="24" fillId="0" borderId="0" xfId="154" applyNumberFormat="1" applyFont="1" applyFill="1" applyAlignment="1"/>
    <xf numFmtId="0" fontId="14" fillId="0" borderId="0" xfId="300" applyFont="1" applyAlignment="1">
      <alignment horizontal="left"/>
    </xf>
    <xf numFmtId="0" fontId="11" fillId="0" borderId="3" xfId="312" applyFont="1" applyBorder="1"/>
    <xf numFmtId="3" fontId="11" fillId="0" borderId="3" xfId="312" applyNumberFormat="1" applyFont="1" applyBorder="1"/>
    <xf numFmtId="175" fontId="11" fillId="0" borderId="3" xfId="154" applyNumberFormat="1" applyFont="1" applyFill="1" applyBorder="1" applyAlignment="1"/>
    <xf numFmtId="175" fontId="11" fillId="0" borderId="3" xfId="154" applyNumberFormat="1" applyFont="1" applyBorder="1" applyAlignment="1"/>
    <xf numFmtId="175" fontId="24" fillId="0" borderId="3" xfId="154" applyNumberFormat="1" applyFont="1" applyBorder="1" applyAlignment="1"/>
    <xf numFmtId="0" fontId="24" fillId="0" borderId="3" xfId="312" applyBorder="1"/>
    <xf numFmtId="10" fontId="11" fillId="0" borderId="3" xfId="312" applyNumberFormat="1" applyFont="1" applyBorder="1" applyAlignment="1">
      <alignment horizontal="left"/>
    </xf>
    <xf numFmtId="0" fontId="11" fillId="21" borderId="0" xfId="312" applyFont="1" applyFill="1" applyAlignment="1">
      <alignment horizontal="left"/>
    </xf>
    <xf numFmtId="3" fontId="0" fillId="0" borderId="0" xfId="312" applyNumberFormat="1" applyFont="1" applyAlignment="1">
      <alignment horizontal="right"/>
    </xf>
    <xf numFmtId="43" fontId="14" fillId="0" borderId="0" xfId="300" applyNumberFormat="1" applyFont="1" applyAlignment="1">
      <alignment horizontal="center"/>
    </xf>
    <xf numFmtId="0" fontId="4" fillId="21" borderId="0" xfId="300" applyFill="1" applyAlignment="1">
      <alignment horizontal="center"/>
    </xf>
    <xf numFmtId="0" fontId="46" fillId="0" borderId="0" xfId="300" applyFont="1" applyAlignment="1">
      <alignment vertical="top"/>
    </xf>
    <xf numFmtId="180" fontId="11" fillId="0" borderId="0" xfId="154" applyNumberFormat="1" applyFont="1" applyFill="1" applyAlignment="1">
      <alignment horizontal="right"/>
    </xf>
    <xf numFmtId="10" fontId="11" fillId="0" borderId="0" xfId="325" applyNumberFormat="1" applyFont="1" applyBorder="1" applyAlignment="1"/>
    <xf numFmtId="0" fontId="46" fillId="21" borderId="0" xfId="0" applyNumberFormat="1" applyFont="1" applyFill="1" applyAlignment="1" applyProtection="1">
      <alignment horizontal="center"/>
      <protection locked="0"/>
    </xf>
    <xf numFmtId="0" fontId="46" fillId="0" borderId="0" xfId="0" applyNumberFormat="1" applyFont="1" applyAlignment="1" applyProtection="1">
      <alignment horizontal="center"/>
      <protection locked="0"/>
    </xf>
    <xf numFmtId="175" fontId="46" fillId="0" borderId="0" xfId="154" applyNumberFormat="1" applyFont="1" applyFill="1"/>
    <xf numFmtId="179" fontId="46" fillId="21" borderId="0" xfId="325" applyNumberFormat="1" applyFont="1" applyFill="1" applyProtection="1">
      <protection locked="0"/>
    </xf>
    <xf numFmtId="0" fontId="0" fillId="0" borderId="0" xfId="0" applyNumberFormat="1" applyAlignment="1">
      <alignment horizontal="center"/>
    </xf>
    <xf numFmtId="9" fontId="4" fillId="21" borderId="0" xfId="328" applyFont="1" applyFill="1" applyBorder="1" applyAlignment="1">
      <alignment horizontal="center"/>
    </xf>
    <xf numFmtId="0" fontId="4" fillId="0" borderId="0" xfId="0" applyNumberFormat="1" applyFont="1" applyAlignment="1">
      <alignment horizontal="center"/>
    </xf>
    <xf numFmtId="174" fontId="6" fillId="0" borderId="0" xfId="0" applyFont="1" applyProtection="1">
      <protection locked="0"/>
    </xf>
    <xf numFmtId="174" fontId="4" fillId="0" borderId="0" xfId="0" applyFont="1"/>
    <xf numFmtId="174" fontId="4" fillId="0" borderId="0" xfId="0" applyFont="1" applyAlignment="1">
      <alignment horizontal="centerContinuous"/>
    </xf>
    <xf numFmtId="0" fontId="60" fillId="0" borderId="0" xfId="298" applyFont="1"/>
    <xf numFmtId="0" fontId="11" fillId="0" borderId="0" xfId="298" applyFont="1"/>
    <xf numFmtId="0" fontId="11" fillId="0" borderId="0" xfId="298" applyFont="1" applyAlignment="1">
      <alignment horizontal="center"/>
    </xf>
    <xf numFmtId="41" fontId="6" fillId="0" borderId="0" xfId="298" applyNumberFormat="1" applyFont="1" applyAlignment="1">
      <alignment horizontal="center"/>
    </xf>
    <xf numFmtId="0" fontId="11" fillId="0" borderId="0" xfId="298" applyFont="1" applyAlignment="1">
      <alignment horizontal="left"/>
    </xf>
    <xf numFmtId="0" fontId="46" fillId="0" borderId="0" xfId="298" applyFont="1" applyAlignment="1">
      <alignment horizontal="left"/>
    </xf>
    <xf numFmtId="0" fontId="46" fillId="0" borderId="0" xfId="298" applyFont="1"/>
    <xf numFmtId="0" fontId="46" fillId="0" borderId="0" xfId="298" applyFont="1" applyAlignment="1">
      <alignment horizontal="right"/>
    </xf>
    <xf numFmtId="37" fontId="46" fillId="0" borderId="0" xfId="298" applyNumberFormat="1" applyFont="1"/>
    <xf numFmtId="37" fontId="46" fillId="0" borderId="0" xfId="298" applyNumberFormat="1" applyFont="1" applyAlignment="1">
      <alignment horizontal="left"/>
    </xf>
    <xf numFmtId="43" fontId="46" fillId="0" borderId="0" xfId="298" applyNumberFormat="1" applyFont="1"/>
    <xf numFmtId="41" fontId="46" fillId="21" borderId="2" xfId="298" applyNumberFormat="1" applyFont="1" applyFill="1" applyBorder="1"/>
    <xf numFmtId="41" fontId="46" fillId="21" borderId="2" xfId="164" applyFont="1" applyFill="1" applyBorder="1"/>
    <xf numFmtId="0" fontId="46" fillId="21" borderId="40" xfId="298" applyFont="1" applyFill="1" applyBorder="1" applyAlignment="1">
      <alignment wrapText="1"/>
    </xf>
    <xf numFmtId="0" fontId="46" fillId="21" borderId="41" xfId="298" applyFont="1" applyFill="1" applyBorder="1" applyAlignment="1">
      <alignment wrapText="1"/>
    </xf>
    <xf numFmtId="0" fontId="46" fillId="21" borderId="2" xfId="298" applyFont="1" applyFill="1" applyBorder="1"/>
    <xf numFmtId="37" fontId="46" fillId="0" borderId="40" xfId="298" applyNumberFormat="1" applyFont="1" applyBorder="1" applyAlignment="1">
      <alignment wrapText="1"/>
    </xf>
    <xf numFmtId="175" fontId="46" fillId="21" borderId="2" xfId="154" applyNumberFormat="1" applyFont="1" applyFill="1" applyBorder="1"/>
    <xf numFmtId="175" fontId="46" fillId="21" borderId="2" xfId="154" applyNumberFormat="1" applyFont="1" applyFill="1" applyBorder="1" applyAlignment="1">
      <alignment horizontal="right"/>
    </xf>
    <xf numFmtId="175" fontId="46" fillId="21" borderId="2" xfId="154" applyNumberFormat="1" applyFont="1" applyFill="1" applyBorder="1" applyAlignment="1">
      <alignment horizontal="center"/>
    </xf>
    <xf numFmtId="175" fontId="46" fillId="21" borderId="42" xfId="154" applyNumberFormat="1" applyFont="1" applyFill="1" applyBorder="1"/>
    <xf numFmtId="0" fontId="46" fillId="21" borderId="43" xfId="298" applyFont="1" applyFill="1" applyBorder="1" applyAlignment="1">
      <alignment wrapText="1"/>
    </xf>
    <xf numFmtId="0" fontId="46" fillId="0" borderId="0" xfId="298" applyFont="1" applyAlignment="1">
      <alignment wrapText="1"/>
    </xf>
    <xf numFmtId="37" fontId="46" fillId="21" borderId="44" xfId="298" applyNumberFormat="1" applyFont="1" applyFill="1" applyBorder="1" applyAlignment="1">
      <alignment horizontal="center"/>
    </xf>
    <xf numFmtId="37" fontId="46" fillId="21" borderId="2" xfId="298" applyNumberFormat="1" applyFont="1" applyFill="1" applyBorder="1"/>
    <xf numFmtId="0" fontId="46" fillId="21" borderId="44" xfId="298" applyFont="1" applyFill="1" applyBorder="1" applyAlignment="1">
      <alignment horizontal="center"/>
    </xf>
    <xf numFmtId="175" fontId="46" fillId="0" borderId="2" xfId="154" applyNumberFormat="1" applyFont="1" applyFill="1" applyBorder="1"/>
    <xf numFmtId="0" fontId="46" fillId="0" borderId="0" xfId="298" applyFont="1" applyAlignment="1">
      <alignment horizontal="center"/>
    </xf>
    <xf numFmtId="37" fontId="46" fillId="0" borderId="0" xfId="298" applyNumberFormat="1" applyFont="1" applyAlignment="1">
      <alignment horizontal="center"/>
    </xf>
    <xf numFmtId="175" fontId="46" fillId="21" borderId="42" xfId="154" applyNumberFormat="1" applyFont="1" applyFill="1" applyBorder="1" applyAlignment="1">
      <alignment horizontal="right"/>
    </xf>
    <xf numFmtId="175" fontId="46" fillId="0" borderId="0" xfId="298" applyNumberFormat="1" applyFont="1" applyAlignment="1">
      <alignment wrapText="1"/>
    </xf>
    <xf numFmtId="0" fontId="46" fillId="0" borderId="0" xfId="298" applyFont="1" applyAlignment="1">
      <alignment horizontal="centerContinuous"/>
    </xf>
    <xf numFmtId="0" fontId="62" fillId="0" borderId="0" xfId="298" applyFont="1" applyAlignment="1">
      <alignment horizontal="center"/>
    </xf>
    <xf numFmtId="0" fontId="46" fillId="0" borderId="44" xfId="298" applyFont="1" applyBorder="1"/>
    <xf numFmtId="175" fontId="46" fillId="0" borderId="2" xfId="154" applyNumberFormat="1" applyFont="1" applyBorder="1"/>
    <xf numFmtId="0" fontId="46" fillId="0" borderId="45" xfId="298" applyFont="1" applyBorder="1"/>
    <xf numFmtId="0" fontId="46" fillId="0" borderId="46" xfId="298" applyFont="1" applyBorder="1"/>
    <xf numFmtId="0" fontId="46" fillId="0" borderId="47" xfId="298" applyFont="1" applyBorder="1"/>
    <xf numFmtId="175" fontId="46" fillId="0" borderId="48" xfId="154" applyNumberFormat="1" applyFont="1" applyFill="1" applyBorder="1"/>
    <xf numFmtId="0" fontId="46" fillId="0" borderId="49" xfId="298" applyFont="1" applyBorder="1" applyAlignment="1">
      <alignment wrapText="1"/>
    </xf>
    <xf numFmtId="37" fontId="46" fillId="0" borderId="0" xfId="298" applyNumberFormat="1" applyFont="1" applyAlignment="1">
      <alignment wrapText="1"/>
    </xf>
    <xf numFmtId="0" fontId="46" fillId="0" borderId="41" xfId="298" applyFont="1" applyBorder="1"/>
    <xf numFmtId="0" fontId="46" fillId="0" borderId="50" xfId="298" applyFont="1" applyBorder="1"/>
    <xf numFmtId="0" fontId="46" fillId="0" borderId="51" xfId="298" applyFont="1" applyBorder="1"/>
    <xf numFmtId="175" fontId="46" fillId="0" borderId="48" xfId="154" applyNumberFormat="1" applyFont="1" applyFill="1" applyBorder="1" applyAlignment="1">
      <alignment horizontal="right"/>
    </xf>
    <xf numFmtId="0" fontId="44" fillId="0" borderId="0" xfId="298" applyFont="1"/>
    <xf numFmtId="41" fontId="46" fillId="0" borderId="0" xfId="298" applyNumberFormat="1" applyFont="1" applyAlignment="1">
      <alignment horizontal="center"/>
    </xf>
    <xf numFmtId="0" fontId="62" fillId="0" borderId="0" xfId="298" applyFont="1" applyAlignment="1">
      <alignment horizontal="left"/>
    </xf>
    <xf numFmtId="0" fontId="62" fillId="0" borderId="0" xfId="298" applyFont="1"/>
    <xf numFmtId="175" fontId="62" fillId="0" borderId="0" xfId="154" applyNumberFormat="1" applyFont="1" applyFill="1"/>
    <xf numFmtId="37" fontId="62" fillId="0" borderId="0" xfId="298" applyNumberFormat="1" applyFont="1"/>
    <xf numFmtId="37" fontId="62" fillId="0" borderId="0" xfId="298" applyNumberFormat="1" applyFont="1" applyAlignment="1">
      <alignment horizontal="left"/>
    </xf>
    <xf numFmtId="43" fontId="62" fillId="0" borderId="0" xfId="298" applyNumberFormat="1" applyFont="1"/>
    <xf numFmtId="41" fontId="62" fillId="21" borderId="2" xfId="298" applyNumberFormat="1" applyFont="1" applyFill="1" applyBorder="1"/>
    <xf numFmtId="41" fontId="62" fillId="21" borderId="2" xfId="164" applyFont="1" applyFill="1" applyBorder="1"/>
    <xf numFmtId="0" fontId="62" fillId="21" borderId="40" xfId="298" applyFont="1" applyFill="1" applyBorder="1" applyAlignment="1">
      <alignment wrapText="1"/>
    </xf>
    <xf numFmtId="0" fontId="62" fillId="21" borderId="41" xfId="298" applyFont="1" applyFill="1" applyBorder="1" applyAlignment="1">
      <alignment wrapText="1"/>
    </xf>
    <xf numFmtId="0" fontId="62" fillId="21" borderId="2" xfId="298" applyFont="1" applyFill="1" applyBorder="1"/>
    <xf numFmtId="37" fontId="62" fillId="0" borderId="40" xfId="298" applyNumberFormat="1" applyFont="1" applyBorder="1" applyAlignment="1">
      <alignment wrapText="1"/>
    </xf>
    <xf numFmtId="175" fontId="62" fillId="21" borderId="2" xfId="154" applyNumberFormat="1" applyFont="1" applyFill="1" applyBorder="1"/>
    <xf numFmtId="175" fontId="62" fillId="21" borderId="2" xfId="154" applyNumberFormat="1" applyFont="1" applyFill="1" applyBorder="1" applyAlignment="1">
      <alignment horizontal="right"/>
    </xf>
    <xf numFmtId="175" fontId="62" fillId="21" borderId="2" xfId="154" applyNumberFormat="1" applyFont="1" applyFill="1" applyBorder="1" applyAlignment="1">
      <alignment horizontal="center"/>
    </xf>
    <xf numFmtId="175" fontId="62" fillId="21" borderId="42" xfId="154" applyNumberFormat="1" applyFont="1" applyFill="1" applyBorder="1"/>
    <xf numFmtId="0" fontId="62" fillId="21" borderId="43" xfId="298" applyFont="1" applyFill="1" applyBorder="1" applyAlignment="1">
      <alignment wrapText="1"/>
    </xf>
    <xf numFmtId="0" fontId="62" fillId="0" borderId="0" xfId="298" applyFont="1" applyAlignment="1">
      <alignment wrapText="1"/>
    </xf>
    <xf numFmtId="37" fontId="62" fillId="21" borderId="44" xfId="298" applyNumberFormat="1" applyFont="1" applyFill="1" applyBorder="1" applyAlignment="1">
      <alignment horizontal="center"/>
    </xf>
    <xf numFmtId="37" fontId="62" fillId="21" borderId="2" xfId="298" applyNumberFormat="1" applyFont="1" applyFill="1" applyBorder="1"/>
    <xf numFmtId="0" fontId="62" fillId="21" borderId="44" xfId="298" applyFont="1" applyFill="1" applyBorder="1" applyAlignment="1">
      <alignment horizontal="center"/>
    </xf>
    <xf numFmtId="175" fontId="62" fillId="0" borderId="2" xfId="154" applyNumberFormat="1" applyFont="1" applyFill="1" applyBorder="1"/>
    <xf numFmtId="37" fontId="62" fillId="0" borderId="0" xfId="298" applyNumberFormat="1" applyFont="1" applyAlignment="1">
      <alignment horizontal="center"/>
    </xf>
    <xf numFmtId="175" fontId="62" fillId="21" borderId="42" xfId="154" applyNumberFormat="1" applyFont="1" applyFill="1" applyBorder="1" applyAlignment="1">
      <alignment horizontal="right"/>
    </xf>
    <xf numFmtId="175" fontId="62" fillId="0" borderId="0" xfId="298" applyNumberFormat="1" applyFont="1" applyAlignment="1">
      <alignment wrapText="1"/>
    </xf>
    <xf numFmtId="0" fontId="62" fillId="0" borderId="0" xfId="298" applyFont="1" applyAlignment="1">
      <alignment horizontal="centerContinuous"/>
    </xf>
    <xf numFmtId="175" fontId="62" fillId="0" borderId="0" xfId="154" applyNumberFormat="1" applyFont="1" applyFill="1" applyBorder="1"/>
    <xf numFmtId="0" fontId="62" fillId="0" borderId="44" xfId="298" applyFont="1" applyBorder="1"/>
    <xf numFmtId="175" fontId="62" fillId="0" borderId="2" xfId="154" applyNumberFormat="1" applyFont="1" applyBorder="1"/>
    <xf numFmtId="0" fontId="62" fillId="0" borderId="45" xfId="298" applyFont="1" applyBorder="1"/>
    <xf numFmtId="0" fontId="62" fillId="0" borderId="46" xfId="298" applyFont="1" applyBorder="1"/>
    <xf numFmtId="0" fontId="62" fillId="0" borderId="47" xfId="298" applyFont="1" applyBorder="1"/>
    <xf numFmtId="175" fontId="62" fillId="0" borderId="48" xfId="154" applyNumberFormat="1" applyFont="1" applyFill="1" applyBorder="1"/>
    <xf numFmtId="0" fontId="62" fillId="0" borderId="49" xfId="298" applyFont="1" applyBorder="1" applyAlignment="1">
      <alignment wrapText="1"/>
    </xf>
    <xf numFmtId="37" fontId="62" fillId="0" borderId="0" xfId="298" applyNumberFormat="1" applyFont="1" applyAlignment="1">
      <alignment wrapText="1"/>
    </xf>
    <xf numFmtId="0" fontId="62" fillId="0" borderId="41" xfId="298" applyFont="1" applyBorder="1"/>
    <xf numFmtId="0" fontId="62" fillId="0" borderId="50" xfId="298" applyFont="1" applyBorder="1"/>
    <xf numFmtId="0" fontId="62" fillId="0" borderId="51" xfId="298" applyFont="1" applyBorder="1"/>
    <xf numFmtId="175" fontId="62" fillId="0" borderId="48" xfId="154" applyNumberFormat="1" applyFont="1" applyFill="1" applyBorder="1" applyAlignment="1">
      <alignment horizontal="right"/>
    </xf>
    <xf numFmtId="41" fontId="62" fillId="0" borderId="0" xfId="298" applyNumberFormat="1" applyFont="1" applyAlignment="1">
      <alignment horizontal="center"/>
    </xf>
    <xf numFmtId="0" fontId="62" fillId="0" borderId="0" xfId="298" applyFont="1" applyAlignment="1">
      <alignment horizontal="right"/>
    </xf>
    <xf numFmtId="0" fontId="62" fillId="0" borderId="0" xfId="312" applyFont="1" applyProtection="1">
      <protection locked="0"/>
    </xf>
    <xf numFmtId="0" fontId="62" fillId="0" borderId="0" xfId="312" applyFont="1"/>
    <xf numFmtId="0" fontId="6" fillId="0" borderId="0" xfId="0" applyNumberFormat="1" applyFont="1" applyAlignment="1">
      <alignment horizontal="left"/>
    </xf>
    <xf numFmtId="2" fontId="0" fillId="0" borderId="0" xfId="0" applyNumberFormat="1" applyAlignment="1">
      <alignment horizontal="center" wrapText="1"/>
    </xf>
    <xf numFmtId="2" fontId="0" fillId="0" borderId="0" xfId="0" applyNumberFormat="1"/>
    <xf numFmtId="0" fontId="11" fillId="0" borderId="0" xfId="0" applyNumberFormat="1" applyFont="1" applyAlignment="1">
      <alignment horizontal="left"/>
    </xf>
    <xf numFmtId="0" fontId="11" fillId="0" borderId="0" xfId="0" applyNumberFormat="1" applyFont="1"/>
    <xf numFmtId="0" fontId="63" fillId="0" borderId="0" xfId="0" applyNumberFormat="1" applyFont="1"/>
    <xf numFmtId="0" fontId="46" fillId="0" borderId="0" xfId="300" applyFont="1" applyAlignment="1">
      <alignment horizontal="center"/>
    </xf>
    <xf numFmtId="0" fontId="46" fillId="0" borderId="31" xfId="300" applyFont="1" applyBorder="1" applyAlignment="1">
      <alignment horizontal="center"/>
    </xf>
    <xf numFmtId="0" fontId="46" fillId="0" borderId="0" xfId="300" applyFont="1" applyAlignment="1">
      <alignment horizontal="center" wrapText="1"/>
    </xf>
    <xf numFmtId="176" fontId="24" fillId="0" borderId="0" xfId="190" applyNumberFormat="1" applyFont="1" applyFill="1"/>
    <xf numFmtId="3" fontId="11" fillId="0" borderId="0" xfId="312" applyNumberFormat="1" applyFont="1" applyAlignment="1">
      <alignment horizontal="center" wrapText="1"/>
    </xf>
    <xf numFmtId="175" fontId="51" fillId="21" borderId="0" xfId="154" applyNumberFormat="1" applyFont="1" applyFill="1" applyBorder="1" applyAlignment="1">
      <alignment horizontal="center"/>
    </xf>
    <xf numFmtId="0" fontId="29" fillId="0" borderId="0" xfId="0" applyNumberFormat="1" applyFont="1" applyAlignment="1">
      <alignment horizontal="center"/>
    </xf>
    <xf numFmtId="0" fontId="0" fillId="0" borderId="0" xfId="0" applyNumberFormat="1" applyAlignment="1">
      <alignment horizontal="left"/>
    </xf>
    <xf numFmtId="37" fontId="0" fillId="0" borderId="0" xfId="0" applyNumberFormat="1"/>
    <xf numFmtId="43" fontId="4" fillId="0" borderId="0" xfId="300" applyNumberFormat="1" applyAlignment="1">
      <alignment horizontal="center"/>
    </xf>
    <xf numFmtId="0" fontId="152" fillId="0" borderId="0" xfId="300" applyFont="1"/>
    <xf numFmtId="0" fontId="4" fillId="62" borderId="0" xfId="300" applyFill="1"/>
    <xf numFmtId="174" fontId="152" fillId="0" borderId="0" xfId="0" applyFont="1"/>
    <xf numFmtId="0" fontId="152" fillId="0" borderId="13" xfId="300" applyFont="1" applyBorder="1"/>
    <xf numFmtId="0" fontId="62" fillId="0" borderId="0" xfId="0" applyNumberFormat="1" applyFont="1"/>
    <xf numFmtId="175" fontId="4" fillId="64" borderId="31" xfId="172" applyNumberFormat="1" applyFont="1" applyFill="1" applyBorder="1" applyAlignment="1">
      <alignment horizontal="right"/>
    </xf>
    <xf numFmtId="43" fontId="11" fillId="0" borderId="0" xfId="154" applyFont="1" applyAlignment="1"/>
    <xf numFmtId="178" fontId="11" fillId="0" borderId="0" xfId="154" applyNumberFormat="1" applyFont="1" applyAlignment="1"/>
    <xf numFmtId="180" fontId="11" fillId="0" borderId="0" xfId="154" applyNumberFormat="1" applyFont="1" applyAlignment="1"/>
    <xf numFmtId="180" fontId="11" fillId="0" borderId="3" xfId="154" applyNumberFormat="1" applyFont="1" applyBorder="1" applyAlignment="1"/>
    <xf numFmtId="43" fontId="11" fillId="0" borderId="0" xfId="154" applyFont="1" applyFill="1" applyAlignment="1"/>
    <xf numFmtId="180" fontId="11" fillId="0" borderId="0" xfId="154" applyNumberFormat="1" applyFont="1" applyFill="1" applyAlignment="1"/>
    <xf numFmtId="180" fontId="11" fillId="0" borderId="3" xfId="154" applyNumberFormat="1" applyFont="1" applyFill="1" applyBorder="1" applyAlignment="1"/>
    <xf numFmtId="43" fontId="11" fillId="0" borderId="13" xfId="154" applyFont="1" applyBorder="1" applyAlignment="1"/>
    <xf numFmtId="43" fontId="11" fillId="0" borderId="0" xfId="154" quotePrefix="1" applyFont="1" applyFill="1" applyAlignment="1">
      <alignment horizontal="right"/>
    </xf>
    <xf numFmtId="43" fontId="11" fillId="0" borderId="13" xfId="154" quotePrefix="1" applyFont="1" applyBorder="1" applyAlignment="1">
      <alignment horizontal="right"/>
    </xf>
    <xf numFmtId="178" fontId="11" fillId="0" borderId="13" xfId="154" applyNumberFormat="1" applyFont="1" applyBorder="1" applyAlignment="1"/>
    <xf numFmtId="43" fontId="62" fillId="21" borderId="0" xfId="154" applyFont="1" applyFill="1" applyProtection="1">
      <protection locked="0"/>
    </xf>
    <xf numFmtId="180" fontId="11" fillId="0" borderId="0" xfId="154" applyNumberFormat="1" applyFont="1" applyFill="1" applyAlignment="1">
      <alignment horizontal="center"/>
    </xf>
    <xf numFmtId="180" fontId="11" fillId="0" borderId="0" xfId="154" applyNumberFormat="1" applyFont="1" applyAlignment="1">
      <alignment horizontal="center"/>
    </xf>
    <xf numFmtId="180" fontId="24" fillId="0" borderId="0" xfId="154" applyNumberFormat="1" applyFont="1" applyFill="1" applyAlignment="1"/>
    <xf numFmtId="43" fontId="11" fillId="0" borderId="0" xfId="154" applyFont="1" applyFill="1" applyBorder="1"/>
    <xf numFmtId="43" fontId="24" fillId="0" borderId="0" xfId="154" applyFont="1" applyFill="1" applyBorder="1" applyAlignment="1"/>
    <xf numFmtId="43" fontId="46" fillId="0" borderId="0" xfId="154" applyFont="1" applyFill="1"/>
    <xf numFmtId="174" fontId="62" fillId="0" borderId="0" xfId="0" applyFont="1"/>
    <xf numFmtId="10" fontId="62" fillId="0" borderId="0" xfId="312" applyNumberFormat="1" applyFont="1" applyProtection="1">
      <protection locked="0"/>
    </xf>
    <xf numFmtId="0" fontId="62" fillId="0" borderId="0" xfId="0" applyNumberFormat="1" applyFont="1" applyAlignment="1">
      <alignment horizontal="left"/>
    </xf>
    <xf numFmtId="175" fontId="11" fillId="0" borderId="0" xfId="154" applyNumberFormat="1" applyFont="1" applyFill="1" applyAlignment="1">
      <alignment horizontal="center"/>
    </xf>
    <xf numFmtId="0" fontId="0" fillId="0" borderId="0" xfId="312" applyFont="1" applyAlignment="1">
      <alignment horizontal="center"/>
    </xf>
    <xf numFmtId="175" fontId="11" fillId="0" borderId="0" xfId="312" applyNumberFormat="1" applyFont="1"/>
    <xf numFmtId="0" fontId="11" fillId="64" borderId="0" xfId="312" applyFont="1" applyFill="1"/>
    <xf numFmtId="0" fontId="11" fillId="64" borderId="0" xfId="312" applyFont="1" applyFill="1" applyAlignment="1">
      <alignment horizontal="right"/>
    </xf>
    <xf numFmtId="0" fontId="11" fillId="64" borderId="0" xfId="312" applyFont="1" applyFill="1" applyProtection="1">
      <protection locked="0"/>
    </xf>
    <xf numFmtId="0" fontId="24" fillId="64" borderId="0" xfId="312" applyFill="1"/>
    <xf numFmtId="43" fontId="0" fillId="0" borderId="0" xfId="154" applyFont="1" applyFill="1" applyAlignment="1">
      <alignment horizontal="center"/>
    </xf>
    <xf numFmtId="43" fontId="62" fillId="0" borderId="0" xfId="154" applyFont="1" applyFill="1"/>
    <xf numFmtId="0" fontId="3" fillId="0" borderId="0" xfId="300" applyFont="1"/>
    <xf numFmtId="0" fontId="4" fillId="0" borderId="0" xfId="313" applyAlignment="1">
      <alignment horizontal="center"/>
    </xf>
    <xf numFmtId="0" fontId="4" fillId="0" borderId="0" xfId="313" applyAlignment="1">
      <alignment horizontal="left"/>
    </xf>
    <xf numFmtId="0" fontId="4" fillId="0" borderId="0" xfId="313" applyAlignment="1">
      <alignment wrapText="1"/>
    </xf>
    <xf numFmtId="0" fontId="4" fillId="0" borderId="0" xfId="313"/>
    <xf numFmtId="0" fontId="29" fillId="0" borderId="0" xfId="313" applyFont="1" applyAlignment="1">
      <alignment horizontal="center" wrapText="1"/>
    </xf>
    <xf numFmtId="179" fontId="4" fillId="0" borderId="0" xfId="325" applyNumberFormat="1" applyFont="1" applyFill="1" applyBorder="1" applyAlignment="1">
      <alignment wrapText="1"/>
    </xf>
    <xf numFmtId="179" fontId="4" fillId="0" borderId="0" xfId="313" applyNumberFormat="1" applyAlignment="1">
      <alignment wrapText="1"/>
    </xf>
    <xf numFmtId="179" fontId="4" fillId="0" borderId="0" xfId="325" applyNumberFormat="1" applyFont="1" applyAlignment="1">
      <alignment wrapText="1"/>
    </xf>
    <xf numFmtId="0" fontId="29" fillId="0" borderId="0" xfId="313" applyFont="1" applyAlignment="1">
      <alignment horizontal="center"/>
    </xf>
    <xf numFmtId="43" fontId="4" fillId="0" borderId="0" xfId="154" applyFont="1" applyAlignment="1">
      <alignment wrapText="1"/>
    </xf>
    <xf numFmtId="0" fontId="4" fillId="0" borderId="0" xfId="313" applyAlignment="1">
      <alignment horizontal="center" vertical="center"/>
    </xf>
    <xf numFmtId="175" fontId="11" fillId="0" borderId="0" xfId="154" applyNumberFormat="1" applyFont="1" applyBorder="1" applyAlignment="1"/>
    <xf numFmtId="175" fontId="29" fillId="0" borderId="13" xfId="172" applyNumberFormat="1" applyFont="1" applyBorder="1" applyAlignment="1"/>
    <xf numFmtId="0" fontId="4" fillId="0" borderId="13" xfId="300" applyBorder="1" applyAlignment="1">
      <alignment horizontal="center" wrapText="1"/>
    </xf>
    <xf numFmtId="0" fontId="4" fillId="0" borderId="32" xfId="300" applyBorder="1" applyAlignment="1">
      <alignment horizontal="center" wrapText="1"/>
    </xf>
    <xf numFmtId="175" fontId="11" fillId="21" borderId="0" xfId="172" applyNumberFormat="1" applyFont="1" applyFill="1" applyBorder="1" applyAlignment="1"/>
    <xf numFmtId="174" fontId="62" fillId="0" borderId="0" xfId="0" applyFont="1" applyAlignment="1">
      <alignment wrapText="1"/>
    </xf>
    <xf numFmtId="174" fontId="62" fillId="0" borderId="0" xfId="0" applyFont="1" applyAlignment="1">
      <alignment vertical="center"/>
    </xf>
    <xf numFmtId="175" fontId="51" fillId="64" borderId="0" xfId="154" applyNumberFormat="1" applyFont="1" applyFill="1" applyBorder="1" applyAlignment="1">
      <alignment horizontal="center"/>
    </xf>
    <xf numFmtId="175" fontId="11" fillId="64" borderId="0" xfId="172" applyNumberFormat="1" applyFont="1" applyFill="1" applyBorder="1" applyAlignment="1"/>
    <xf numFmtId="175" fontId="46" fillId="0" borderId="13" xfId="300" applyNumberFormat="1" applyFont="1" applyBorder="1"/>
    <xf numFmtId="43" fontId="11" fillId="0" borderId="0" xfId="154" applyFont="1" applyBorder="1" applyAlignment="1"/>
    <xf numFmtId="0" fontId="155" fillId="0" borderId="0" xfId="312" applyFont="1" applyProtection="1">
      <protection locked="0"/>
    </xf>
    <xf numFmtId="43" fontId="0" fillId="0" borderId="0" xfId="154" applyFont="1"/>
    <xf numFmtId="43" fontId="0" fillId="0" borderId="0" xfId="0" applyNumberFormat="1"/>
    <xf numFmtId="43" fontId="152" fillId="0" borderId="0" xfId="154" applyFont="1" applyFill="1" applyBorder="1" applyAlignment="1" applyProtection="1"/>
    <xf numFmtId="0" fontId="152" fillId="0" borderId="0" xfId="0" applyNumberFormat="1" applyFont="1" applyProtection="1"/>
    <xf numFmtId="175" fontId="0" fillId="0" borderId="0" xfId="154" applyNumberFormat="1" applyFont="1"/>
    <xf numFmtId="175" fontId="24" fillId="63" borderId="0" xfId="154" applyNumberFormat="1" applyFont="1" applyFill="1"/>
    <xf numFmtId="180" fontId="0" fillId="0" borderId="0" xfId="154" applyNumberFormat="1" applyFont="1"/>
    <xf numFmtId="174" fontId="0" fillId="0" borderId="0" xfId="0" applyAlignment="1">
      <alignment wrapText="1"/>
    </xf>
    <xf numFmtId="175" fontId="11" fillId="64" borderId="0" xfId="154" applyNumberFormat="1" applyFont="1" applyFill="1" applyAlignment="1"/>
    <xf numFmtId="3" fontId="156" fillId="0" borderId="0" xfId="312" applyNumberFormat="1" applyFont="1"/>
    <xf numFmtId="0" fontId="157" fillId="0" borderId="0" xfId="300" applyFont="1"/>
    <xf numFmtId="0" fontId="158" fillId="0" borderId="0" xfId="300" applyFont="1"/>
    <xf numFmtId="0" fontId="158" fillId="0" borderId="0" xfId="300" applyFont="1" applyAlignment="1">
      <alignment horizontal="center"/>
    </xf>
    <xf numFmtId="0" fontId="156" fillId="0" borderId="0" xfId="300" applyFont="1"/>
    <xf numFmtId="175" fontId="59" fillId="64" borderId="0" xfId="154" applyNumberFormat="1" applyFont="1" applyFill="1" applyBorder="1" applyAlignment="1">
      <alignment horizontal="center"/>
    </xf>
    <xf numFmtId="175" fontId="59" fillId="0" borderId="0" xfId="154" applyNumberFormat="1" applyFont="1" applyFill="1" applyBorder="1" applyAlignment="1">
      <alignment horizontal="center" wrapText="1"/>
    </xf>
    <xf numFmtId="175" fontId="59" fillId="64" borderId="0" xfId="154" applyNumberFormat="1" applyFont="1" applyFill="1" applyBorder="1"/>
    <xf numFmtId="0" fontId="59" fillId="64" borderId="3" xfId="300" applyFont="1" applyFill="1" applyBorder="1"/>
    <xf numFmtId="175" fontId="59" fillId="64" borderId="3" xfId="154" applyNumberFormat="1" applyFont="1" applyFill="1" applyBorder="1"/>
    <xf numFmtId="175" fontId="59" fillId="0" borderId="3" xfId="154" applyNumberFormat="1" applyFont="1" applyFill="1" applyBorder="1" applyAlignment="1">
      <alignment horizontal="center" wrapText="1"/>
    </xf>
    <xf numFmtId="175" fontId="59" fillId="0" borderId="0" xfId="154" applyNumberFormat="1" applyFont="1" applyFill="1" applyBorder="1"/>
    <xf numFmtId="175" fontId="59" fillId="0" borderId="0" xfId="154" applyNumberFormat="1" applyFont="1" applyFill="1" applyBorder="1" applyAlignment="1">
      <alignment horizontal="center"/>
    </xf>
    <xf numFmtId="175" fontId="44" fillId="64" borderId="0" xfId="154" applyNumberFormat="1" applyFont="1" applyFill="1" applyBorder="1"/>
    <xf numFmtId="0" fontId="44" fillId="0" borderId="0" xfId="154" applyNumberFormat="1" applyFont="1" applyAlignment="1">
      <alignment horizontal="center"/>
    </xf>
    <xf numFmtId="175" fontId="44" fillId="0" borderId="0" xfId="154" applyNumberFormat="1" applyFont="1"/>
    <xf numFmtId="174" fontId="44" fillId="0" borderId="0" xfId="0" applyFont="1"/>
    <xf numFmtId="0" fontId="44" fillId="0" borderId="0" xfId="304" applyFont="1"/>
    <xf numFmtId="174" fontId="44" fillId="0" borderId="0" xfId="305" applyFont="1"/>
    <xf numFmtId="0" fontId="44" fillId="0" borderId="0" xfId="309" applyFont="1"/>
    <xf numFmtId="49" fontId="44" fillId="0" borderId="0" xfId="309" applyNumberFormat="1" applyFont="1"/>
    <xf numFmtId="175" fontId="44" fillId="0" borderId="0" xfId="180" applyNumberFormat="1" applyFont="1"/>
    <xf numFmtId="0" fontId="44" fillId="0" borderId="0" xfId="309" applyFont="1" applyAlignment="1">
      <alignment horizontal="center"/>
    </xf>
    <xf numFmtId="49" fontId="44" fillId="0" borderId="0" xfId="309" applyNumberFormat="1" applyFont="1" applyAlignment="1">
      <alignment horizontal="center"/>
    </xf>
    <xf numFmtId="175" fontId="44" fillId="0" borderId="0" xfId="180" applyNumberFormat="1" applyFont="1" applyAlignment="1">
      <alignment horizontal="center"/>
    </xf>
    <xf numFmtId="10" fontId="44" fillId="0" borderId="0" xfId="333" applyNumberFormat="1" applyFont="1" applyAlignment="1">
      <alignment horizontal="center"/>
    </xf>
    <xf numFmtId="49" fontId="44" fillId="0" borderId="5" xfId="309" applyNumberFormat="1" applyFont="1" applyBorder="1" applyAlignment="1">
      <alignment horizontal="center" wrapText="1"/>
    </xf>
    <xf numFmtId="49" fontId="44" fillId="0" borderId="5" xfId="180" applyNumberFormat="1" applyFont="1" applyBorder="1" applyAlignment="1">
      <alignment horizontal="center" wrapText="1"/>
    </xf>
    <xf numFmtId="49" fontId="44" fillId="64" borderId="3" xfId="309" applyNumberFormat="1" applyFont="1" applyFill="1" applyBorder="1" applyAlignment="1">
      <alignment horizontal="center" wrapText="1"/>
    </xf>
    <xf numFmtId="175" fontId="44" fillId="64" borderId="0" xfId="180" applyNumberFormat="1" applyFont="1" applyFill="1" applyBorder="1"/>
    <xf numFmtId="175" fontId="44" fillId="64" borderId="3" xfId="180" applyNumberFormat="1" applyFont="1" applyFill="1" applyBorder="1"/>
    <xf numFmtId="175" fontId="44" fillId="0" borderId="0" xfId="180" applyNumberFormat="1" applyFont="1" applyBorder="1" applyAlignment="1">
      <alignment horizontal="right"/>
    </xf>
    <xf numFmtId="175" fontId="44" fillId="0" borderId="0" xfId="180" applyNumberFormat="1" applyFont="1" applyBorder="1" applyAlignment="1"/>
    <xf numFmtId="174" fontId="48" fillId="0" borderId="0" xfId="0" applyFont="1"/>
    <xf numFmtId="174" fontId="44" fillId="0" borderId="0" xfId="305" applyFont="1" applyAlignment="1">
      <alignment horizontal="center" wrapText="1"/>
    </xf>
    <xf numFmtId="49" fontId="44" fillId="0" borderId="0" xfId="309" applyNumberFormat="1" applyFont="1" applyAlignment="1">
      <alignment horizontal="left"/>
    </xf>
    <xf numFmtId="0" fontId="44" fillId="0" borderId="0" xfId="154" applyNumberFormat="1" applyFont="1" applyBorder="1" applyAlignment="1">
      <alignment horizontal="center"/>
    </xf>
    <xf numFmtId="174" fontId="0" fillId="0" borderId="0" xfId="0" applyAlignment="1">
      <alignment horizontal="left"/>
    </xf>
    <xf numFmtId="174" fontId="44" fillId="64" borderId="27" xfId="305" applyFont="1" applyFill="1" applyBorder="1"/>
    <xf numFmtId="10" fontId="11" fillId="0" borderId="0" xfId="325" applyNumberFormat="1" applyFont="1" applyFill="1" applyAlignment="1"/>
    <xf numFmtId="174" fontId="0" fillId="0" borderId="0" xfId="0" applyAlignment="1">
      <alignment horizontal="center"/>
    </xf>
    <xf numFmtId="174" fontId="46" fillId="0" borderId="0" xfId="0" applyFont="1" applyAlignment="1">
      <alignment horizontal="center"/>
    </xf>
    <xf numFmtId="175" fontId="46" fillId="0" borderId="0" xfId="154" applyNumberFormat="1" applyFont="1" applyBorder="1" applyAlignment="1">
      <alignment horizontal="center"/>
    </xf>
    <xf numFmtId="175" fontId="46" fillId="0" borderId="29" xfId="154" applyNumberFormat="1" applyFont="1" applyBorder="1" applyAlignment="1">
      <alignment horizontal="center"/>
    </xf>
    <xf numFmtId="0" fontId="46" fillId="0" borderId="31" xfId="154" applyNumberFormat="1" applyFont="1" applyBorder="1" applyAlignment="1">
      <alignment horizontal="center"/>
    </xf>
    <xf numFmtId="175" fontId="46" fillId="0" borderId="29" xfId="154" applyNumberFormat="1" applyFont="1" applyFill="1" applyBorder="1" applyAlignment="1">
      <alignment horizontal="center"/>
    </xf>
    <xf numFmtId="175" fontId="46" fillId="0" borderId="0" xfId="154" applyNumberFormat="1" applyFont="1" applyBorder="1"/>
    <xf numFmtId="175" fontId="46" fillId="0" borderId="29" xfId="154" applyNumberFormat="1" applyFont="1" applyBorder="1"/>
    <xf numFmtId="174" fontId="46" fillId="0" borderId="0" xfId="0" applyFont="1" applyAlignment="1">
      <alignment horizontal="left" indent="1"/>
    </xf>
    <xf numFmtId="174" fontId="46" fillId="0" borderId="0" xfId="0" applyFont="1" applyAlignment="1">
      <alignment horizontal="left" indent="2"/>
    </xf>
    <xf numFmtId="174" fontId="46" fillId="0" borderId="0" xfId="0" applyFont="1" applyAlignment="1">
      <alignment horizontal="left"/>
    </xf>
    <xf numFmtId="175" fontId="46" fillId="21" borderId="16" xfId="154" applyNumberFormat="1" applyFont="1" applyFill="1" applyBorder="1"/>
    <xf numFmtId="175" fontId="46" fillId="21" borderId="57" xfId="154" applyNumberFormat="1" applyFont="1" applyFill="1" applyBorder="1"/>
    <xf numFmtId="175" fontId="46" fillId="21" borderId="58" xfId="154" applyNumberFormat="1" applyFont="1" applyFill="1" applyBorder="1"/>
    <xf numFmtId="175" fontId="46" fillId="0" borderId="6" xfId="154" applyNumberFormat="1" applyFont="1" applyBorder="1"/>
    <xf numFmtId="174" fontId="46" fillId="0" borderId="0" xfId="0" applyFont="1" applyAlignment="1">
      <alignment horizontal="left" wrapText="1" indent="1"/>
    </xf>
    <xf numFmtId="0" fontId="46" fillId="0" borderId="33" xfId="154" applyNumberFormat="1" applyFont="1" applyBorder="1" applyAlignment="1">
      <alignment horizontal="center"/>
    </xf>
    <xf numFmtId="174" fontId="46" fillId="0" borderId="13" xfId="0" applyFont="1" applyBorder="1"/>
    <xf numFmtId="175" fontId="46" fillId="0" borderId="13" xfId="154" applyNumberFormat="1" applyFont="1" applyBorder="1"/>
    <xf numFmtId="175" fontId="46" fillId="0" borderId="32" xfId="154" applyNumberFormat="1" applyFont="1" applyBorder="1"/>
    <xf numFmtId="175" fontId="47" fillId="56" borderId="0" xfId="154" applyNumberFormat="1" applyFont="1" applyFill="1" applyBorder="1" applyAlignment="1">
      <alignment horizontal="center" wrapText="1"/>
    </xf>
    <xf numFmtId="175" fontId="46" fillId="0" borderId="0" xfId="154" applyNumberFormat="1" applyFont="1"/>
    <xf numFmtId="3" fontId="45" fillId="0" borderId="34" xfId="300" applyNumberFormat="1" applyFont="1" applyBorder="1" applyAlignment="1">
      <alignment horizontal="left"/>
    </xf>
    <xf numFmtId="175" fontId="46" fillId="0" borderId="34" xfId="154" applyNumberFormat="1" applyFont="1" applyFill="1" applyBorder="1"/>
    <xf numFmtId="175" fontId="46" fillId="0" borderId="34" xfId="154" applyNumberFormat="1" applyFont="1" applyFill="1" applyBorder="1" applyAlignment="1">
      <alignment horizontal="center"/>
    </xf>
    <xf numFmtId="175" fontId="46" fillId="0" borderId="34" xfId="154" applyNumberFormat="1" applyFont="1" applyBorder="1"/>
    <xf numFmtId="175" fontId="46" fillId="0" borderId="36" xfId="154" applyNumberFormat="1" applyFont="1" applyBorder="1"/>
    <xf numFmtId="0" fontId="45" fillId="0" borderId="31" xfId="154" applyNumberFormat="1" applyFont="1" applyBorder="1" applyAlignment="1">
      <alignment horizontal="center"/>
    </xf>
    <xf numFmtId="174" fontId="45" fillId="0" borderId="0" xfId="0" applyFont="1" applyAlignment="1">
      <alignment horizontal="center"/>
    </xf>
    <xf numFmtId="0" fontId="45" fillId="0" borderId="37" xfId="154" applyNumberFormat="1" applyFont="1" applyBorder="1" applyAlignment="1">
      <alignment horizontal="center"/>
    </xf>
    <xf numFmtId="174" fontId="45" fillId="0" borderId="3" xfId="0" applyFont="1" applyBorder="1" applyAlignment="1">
      <alignment horizontal="center"/>
    </xf>
    <xf numFmtId="175" fontId="45" fillId="0" borderId="3" xfId="154" applyNumberFormat="1" applyFont="1" applyFill="1" applyBorder="1" applyAlignment="1">
      <alignment horizontal="center"/>
    </xf>
    <xf numFmtId="175" fontId="45" fillId="0" borderId="38" xfId="154" applyNumberFormat="1" applyFont="1" applyFill="1" applyBorder="1" applyAlignment="1">
      <alignment horizontal="center"/>
    </xf>
    <xf numFmtId="175" fontId="46" fillId="21" borderId="59" xfId="154" applyNumberFormat="1" applyFont="1" applyFill="1" applyBorder="1"/>
    <xf numFmtId="175" fontId="46" fillId="0" borderId="60" xfId="154" applyNumberFormat="1" applyFont="1" applyBorder="1"/>
    <xf numFmtId="175" fontId="46" fillId="0" borderId="29" xfId="154" applyNumberFormat="1" applyFont="1" applyFill="1" applyBorder="1"/>
    <xf numFmtId="175" fontId="45" fillId="0" borderId="0" xfId="154" applyNumberFormat="1" applyFont="1" applyBorder="1"/>
    <xf numFmtId="175" fontId="45" fillId="0" borderId="29" xfId="154" applyNumberFormat="1" applyFont="1" applyBorder="1"/>
    <xf numFmtId="174" fontId="46" fillId="0" borderId="0" xfId="0" applyFont="1" applyAlignment="1">
      <alignment horizontal="left" wrapText="1" indent="2"/>
    </xf>
    <xf numFmtId="175" fontId="46" fillId="21" borderId="61" xfId="154" applyNumberFormat="1" applyFont="1" applyFill="1" applyBorder="1"/>
    <xf numFmtId="0" fontId="62" fillId="0" borderId="0" xfId="312" applyFont="1" applyAlignment="1" applyProtection="1">
      <alignment horizontal="center"/>
      <protection locked="0"/>
    </xf>
    <xf numFmtId="0" fontId="155" fillId="0" borderId="0" xfId="312" applyFont="1" applyAlignment="1" applyProtection="1">
      <alignment horizontal="center"/>
      <protection locked="0"/>
    </xf>
    <xf numFmtId="177" fontId="62" fillId="0" borderId="0" xfId="325" applyNumberFormat="1" applyFont="1" applyFill="1"/>
    <xf numFmtId="43" fontId="62" fillId="0" borderId="0" xfId="0" applyNumberFormat="1" applyFont="1"/>
    <xf numFmtId="174" fontId="60" fillId="0" borderId="0" xfId="312" applyNumberFormat="1" applyFont="1" applyProtection="1">
      <protection locked="0"/>
    </xf>
    <xf numFmtId="3" fontId="60" fillId="0" borderId="0" xfId="312" applyNumberFormat="1" applyFont="1"/>
    <xf numFmtId="0" fontId="60" fillId="0" borderId="0" xfId="312" applyFont="1" applyProtection="1">
      <protection locked="0"/>
    </xf>
    <xf numFmtId="170" fontId="39" fillId="0" borderId="0" xfId="312" applyNumberFormat="1" applyFont="1" applyProtection="1">
      <protection locked="0"/>
    </xf>
    <xf numFmtId="0" fontId="39" fillId="0" borderId="0" xfId="312" applyFont="1" applyProtection="1"/>
    <xf numFmtId="3" fontId="39" fillId="0" borderId="0" xfId="312" applyNumberFormat="1" applyFont="1" applyProtection="1"/>
    <xf numFmtId="0" fontId="60" fillId="0" borderId="0" xfId="312" applyFont="1" applyAlignment="1" applyProtection="1">
      <alignment horizontal="center"/>
      <protection locked="0"/>
    </xf>
    <xf numFmtId="3" fontId="159" fillId="0" borderId="0" xfId="312" applyNumberFormat="1" applyFont="1"/>
    <xf numFmtId="0" fontId="147" fillId="0" borderId="0" xfId="312" applyFont="1" applyAlignment="1" applyProtection="1">
      <alignment horizontal="left"/>
      <protection locked="0"/>
    </xf>
    <xf numFmtId="0" fontId="148" fillId="0" borderId="0" xfId="0" applyNumberFormat="1" applyFont="1"/>
    <xf numFmtId="0" fontId="62" fillId="0" borderId="0" xfId="0" applyNumberFormat="1" applyFont="1" applyAlignment="1">
      <alignment horizontal="center" vertical="top"/>
    </xf>
    <xf numFmtId="0" fontId="62" fillId="0" borderId="0" xfId="0" applyNumberFormat="1" applyFont="1" applyAlignment="1">
      <alignment horizontal="center"/>
    </xf>
    <xf numFmtId="175" fontId="46" fillId="0" borderId="0" xfId="172" applyNumberFormat="1" applyFont="1" applyBorder="1" applyAlignment="1"/>
    <xf numFmtId="175" fontId="46" fillId="40" borderId="0" xfId="172" applyNumberFormat="1" applyFont="1" applyFill="1" applyAlignment="1"/>
    <xf numFmtId="175" fontId="46" fillId="0" borderId="0" xfId="300" applyNumberFormat="1" applyFont="1"/>
    <xf numFmtId="0" fontId="64" fillId="0" borderId="0" xfId="300" applyFont="1"/>
    <xf numFmtId="174" fontId="46" fillId="0" borderId="3" xfId="0" applyFont="1" applyBorder="1"/>
    <xf numFmtId="174" fontId="46" fillId="0" borderId="0" xfId="0" applyFont="1" applyAlignment="1">
      <alignment horizontal="centerContinuous"/>
    </xf>
    <xf numFmtId="0" fontId="46" fillId="0" borderId="0" xfId="0" applyNumberFormat="1" applyFont="1" applyAlignment="1">
      <alignment horizontal="center"/>
    </xf>
    <xf numFmtId="174" fontId="149" fillId="0" borderId="0" xfId="0" applyFont="1" applyAlignment="1">
      <alignment horizontal="right"/>
    </xf>
    <xf numFmtId="0" fontId="46" fillId="64" borderId="0" xfId="0" applyNumberFormat="1" applyFont="1" applyFill="1" applyAlignment="1">
      <alignment horizontal="center"/>
    </xf>
    <xf numFmtId="170" fontId="46" fillId="64" borderId="0" xfId="0" applyNumberFormat="1" applyFont="1" applyFill="1"/>
    <xf numFmtId="175" fontId="46" fillId="64" borderId="0" xfId="154" applyNumberFormat="1" applyFont="1" applyFill="1"/>
    <xf numFmtId="170" fontId="46" fillId="0" borderId="0" xfId="0" applyNumberFormat="1" applyFont="1"/>
    <xf numFmtId="175" fontId="46" fillId="0" borderId="8" xfId="154" applyNumberFormat="1" applyFont="1" applyBorder="1"/>
    <xf numFmtId="170" fontId="45" fillId="0" borderId="0" xfId="0" applyNumberFormat="1" applyFont="1"/>
    <xf numFmtId="175" fontId="46" fillId="0" borderId="0" xfId="172" applyNumberFormat="1" applyFont="1" applyFill="1" applyAlignment="1">
      <alignment horizontal="right"/>
    </xf>
    <xf numFmtId="0" fontId="46" fillId="64" borderId="0" xfId="300" applyFont="1" applyFill="1"/>
    <xf numFmtId="175" fontId="46" fillId="21" borderId="0" xfId="172" applyNumberFormat="1" applyFont="1" applyFill="1"/>
    <xf numFmtId="175" fontId="46" fillId="21" borderId="29" xfId="172" applyNumberFormat="1" applyFont="1" applyFill="1" applyBorder="1" applyAlignment="1">
      <alignment horizontal="right"/>
    </xf>
    <xf numFmtId="0" fontId="46" fillId="0" borderId="0" xfId="300" applyFont="1" applyAlignment="1">
      <alignment horizontal="left"/>
    </xf>
    <xf numFmtId="0" fontId="45" fillId="0" borderId="0" xfId="300" applyFont="1" applyAlignment="1">
      <alignment horizontal="left"/>
    </xf>
    <xf numFmtId="175" fontId="46" fillId="0" borderId="29" xfId="172" applyNumberFormat="1" applyFont="1" applyFill="1" applyBorder="1" applyAlignment="1">
      <alignment horizontal="right"/>
    </xf>
    <xf numFmtId="0" fontId="65" fillId="0" borderId="0" xfId="300" applyFont="1" applyAlignment="1">
      <alignment horizontal="center"/>
    </xf>
    <xf numFmtId="175" fontId="65" fillId="0" borderId="0" xfId="154" applyNumberFormat="1" applyFont="1" applyFill="1" applyBorder="1" applyAlignment="1">
      <alignment horizontal="center"/>
    </xf>
    <xf numFmtId="175" fontId="65" fillId="0" borderId="0" xfId="154" applyNumberFormat="1" applyFont="1" applyBorder="1" applyAlignment="1">
      <alignment horizontal="center"/>
    </xf>
    <xf numFmtId="175" fontId="46" fillId="0" borderId="29" xfId="172" applyNumberFormat="1" applyFont="1" applyBorder="1" applyAlignment="1">
      <alignment horizontal="right"/>
    </xf>
    <xf numFmtId="0" fontId="46" fillId="0" borderId="33" xfId="300" applyFont="1" applyBorder="1" applyAlignment="1">
      <alignment horizontal="center"/>
    </xf>
    <xf numFmtId="0" fontId="46" fillId="0" borderId="13" xfId="300" applyFont="1" applyBorder="1" applyAlignment="1">
      <alignment horizontal="center"/>
    </xf>
    <xf numFmtId="0" fontId="46" fillId="0" borderId="13" xfId="300" applyFont="1" applyBorder="1" applyAlignment="1">
      <alignment horizontal="left"/>
    </xf>
    <xf numFmtId="0" fontId="65" fillId="0" borderId="13" xfId="300" applyFont="1" applyBorder="1" applyAlignment="1">
      <alignment horizontal="center"/>
    </xf>
    <xf numFmtId="9" fontId="24" fillId="0" borderId="0" xfId="312" applyNumberFormat="1"/>
    <xf numFmtId="0" fontId="4" fillId="0" borderId="34" xfId="300" applyBorder="1" applyAlignment="1">
      <alignment horizontal="center" wrapText="1"/>
    </xf>
    <xf numFmtId="0" fontId="4" fillId="0" borderId="36" xfId="300" applyBorder="1" applyAlignment="1">
      <alignment horizontal="center" wrapText="1"/>
    </xf>
    <xf numFmtId="0" fontId="55" fillId="0" borderId="0" xfId="300" applyFont="1" applyAlignment="1">
      <alignment horizontal="right"/>
    </xf>
    <xf numFmtId="0" fontId="55" fillId="0" borderId="0" xfId="300" applyFont="1" applyAlignment="1">
      <alignment horizontal="left"/>
    </xf>
    <xf numFmtId="0" fontId="55" fillId="0" borderId="0" xfId="300" applyFont="1" applyAlignment="1">
      <alignment horizontal="center"/>
    </xf>
    <xf numFmtId="175" fontId="55" fillId="64" borderId="31" xfId="172" applyNumberFormat="1" applyFont="1" applyFill="1" applyBorder="1" applyAlignment="1">
      <alignment horizontal="right"/>
    </xf>
    <xf numFmtId="175" fontId="55" fillId="64" borderId="0" xfId="172" applyNumberFormat="1" applyFont="1" applyFill="1" applyBorder="1" applyAlignment="1">
      <alignment horizontal="right"/>
    </xf>
    <xf numFmtId="175" fontId="55" fillId="0" borderId="0" xfId="300" applyNumberFormat="1" applyFont="1" applyAlignment="1">
      <alignment horizontal="center"/>
    </xf>
    <xf numFmtId="43" fontId="44" fillId="0" borderId="0" xfId="154" applyFont="1" applyBorder="1" applyAlignment="1"/>
    <xf numFmtId="49" fontId="11" fillId="0" borderId="0" xfId="298" applyNumberFormat="1" applyFont="1" applyAlignment="1">
      <alignment horizontal="center"/>
    </xf>
    <xf numFmtId="49" fontId="60" fillId="0" borderId="0" xfId="298" applyNumberFormat="1" applyFont="1" applyAlignment="1">
      <alignment horizontal="center"/>
    </xf>
    <xf numFmtId="43" fontId="4" fillId="64" borderId="0" xfId="154" applyFont="1" applyFill="1" applyBorder="1"/>
    <xf numFmtId="175" fontId="44" fillId="0" borderId="0" xfId="154" applyNumberFormat="1" applyFont="1" applyBorder="1"/>
    <xf numFmtId="175" fontId="44" fillId="0" borderId="3" xfId="154" applyNumberFormat="1" applyFont="1" applyBorder="1"/>
    <xf numFmtId="49" fontId="44" fillId="64" borderId="27" xfId="180" applyNumberFormat="1" applyFont="1" applyFill="1" applyBorder="1" applyAlignment="1">
      <alignment horizontal="left"/>
    </xf>
    <xf numFmtId="175" fontId="44" fillId="0" borderId="54" xfId="180" applyNumberFormat="1" applyFont="1" applyBorder="1"/>
    <xf numFmtId="49" fontId="44" fillId="64" borderId="27" xfId="180" applyNumberFormat="1" applyFont="1" applyFill="1" applyBorder="1"/>
    <xf numFmtId="49" fontId="44" fillId="64" borderId="56" xfId="180" applyNumberFormat="1" applyFont="1" applyFill="1" applyBorder="1"/>
    <xf numFmtId="175" fontId="44" fillId="0" borderId="53" xfId="180" applyNumberFormat="1" applyFont="1" applyBorder="1"/>
    <xf numFmtId="0" fontId="4" fillId="0" borderId="35" xfId="300" applyBorder="1" applyAlignment="1">
      <alignment horizontal="left"/>
    </xf>
    <xf numFmtId="175" fontId="4" fillId="0" borderId="0" xfId="154" applyNumberFormat="1" applyFont="1" applyFill="1" applyAlignment="1">
      <alignment horizontal="center" wrapText="1"/>
    </xf>
    <xf numFmtId="174" fontId="48" fillId="0" borderId="0" xfId="305" applyFont="1"/>
    <xf numFmtId="3" fontId="11" fillId="64" borderId="0" xfId="0" applyNumberFormat="1" applyFont="1" applyFill="1"/>
    <xf numFmtId="41" fontId="24" fillId="0" borderId="0" xfId="312" applyNumberFormat="1" applyAlignment="1">
      <alignment horizontal="right"/>
    </xf>
    <xf numFmtId="173" fontId="46" fillId="0" borderId="0" xfId="0" applyNumberFormat="1" applyFont="1" applyAlignment="1">
      <alignment horizontal="left" indent="1"/>
    </xf>
    <xf numFmtId="10" fontId="4" fillId="21" borderId="0" xfId="328" applyNumberFormat="1" applyFont="1" applyFill="1" applyBorder="1" applyAlignment="1">
      <alignment horizontal="center"/>
    </xf>
    <xf numFmtId="252" fontId="11" fillId="0" borderId="0" xfId="154" applyNumberFormat="1" applyFont="1" applyAlignment="1"/>
    <xf numFmtId="180" fontId="62" fillId="0" borderId="0" xfId="312" applyNumberFormat="1" applyFont="1" applyProtection="1">
      <protection locked="0"/>
    </xf>
    <xf numFmtId="4" fontId="24" fillId="0" borderId="0" xfId="312" applyNumberFormat="1"/>
    <xf numFmtId="174" fontId="45" fillId="0" borderId="0" xfId="0" applyFont="1"/>
    <xf numFmtId="10" fontId="4" fillId="64" borderId="0" xfId="325" applyNumberFormat="1" applyFont="1" applyFill="1" applyBorder="1" applyAlignment="1"/>
    <xf numFmtId="10" fontId="4" fillId="0" borderId="29" xfId="325" applyNumberFormat="1" applyFont="1" applyFill="1" applyBorder="1" applyAlignment="1">
      <alignment horizontal="center"/>
    </xf>
    <xf numFmtId="174" fontId="14" fillId="0" borderId="32" xfId="0" applyFont="1" applyBorder="1"/>
    <xf numFmtId="175" fontId="46" fillId="0" borderId="57" xfId="154" applyNumberFormat="1" applyFont="1" applyFill="1" applyBorder="1"/>
    <xf numFmtId="10" fontId="46" fillId="0" borderId="0" xfId="325" applyNumberFormat="1" applyFont="1" applyBorder="1"/>
    <xf numFmtId="0" fontId="62" fillId="0" borderId="0" xfId="312" applyFont="1" applyAlignment="1">
      <alignment horizontal="left" wrapText="1"/>
    </xf>
    <xf numFmtId="174" fontId="62" fillId="0" borderId="0" xfId="0" applyFont="1" applyAlignment="1">
      <alignment horizontal="left" vertical="center" wrapText="1"/>
    </xf>
    <xf numFmtId="178" fontId="24" fillId="0" borderId="0" xfId="154" applyNumberFormat="1" applyFont="1" applyAlignment="1"/>
    <xf numFmtId="180" fontId="24" fillId="0" borderId="0" xfId="154" applyNumberFormat="1" applyFont="1" applyAlignment="1"/>
    <xf numFmtId="180" fontId="11" fillId="21" borderId="0" xfId="154" applyNumberFormat="1" applyFont="1" applyFill="1" applyAlignment="1"/>
    <xf numFmtId="43" fontId="11" fillId="0" borderId="3" xfId="154" applyFont="1" applyFill="1" applyBorder="1" applyAlignment="1"/>
    <xf numFmtId="9" fontId="11" fillId="0" borderId="0" xfId="325" applyFont="1" applyFill="1" applyAlignment="1"/>
    <xf numFmtId="9" fontId="11" fillId="0" borderId="0" xfId="325" applyFont="1" applyAlignment="1"/>
    <xf numFmtId="9" fontId="11" fillId="0" borderId="0" xfId="325" applyFont="1"/>
    <xf numFmtId="180" fontId="11" fillId="0" borderId="0" xfId="154" applyNumberFormat="1" applyFont="1" applyBorder="1" applyAlignment="1"/>
    <xf numFmtId="9" fontId="11" fillId="0" borderId="0" xfId="325" applyFont="1" applyFill="1" applyBorder="1" applyAlignment="1"/>
    <xf numFmtId="0" fontId="11" fillId="0" borderId="0" xfId="312" applyFont="1" applyAlignment="1">
      <alignment wrapText="1"/>
    </xf>
    <xf numFmtId="175" fontId="11" fillId="21" borderId="3" xfId="154" applyNumberFormat="1" applyFont="1" applyFill="1" applyBorder="1" applyAlignment="1"/>
    <xf numFmtId="0" fontId="11" fillId="0" borderId="5" xfId="312" applyFont="1" applyBorder="1" applyAlignment="1">
      <alignment wrapText="1"/>
    </xf>
    <xf numFmtId="3" fontId="11" fillId="0" borderId="5" xfId="312" applyNumberFormat="1" applyFont="1" applyBorder="1"/>
    <xf numFmtId="175" fontId="11" fillId="0" borderId="5" xfId="154" applyNumberFormat="1" applyFont="1" applyBorder="1" applyAlignment="1"/>
    <xf numFmtId="3" fontId="11" fillId="0" borderId="0" xfId="0" applyNumberFormat="1" applyFont="1"/>
    <xf numFmtId="171" fontId="62" fillId="21" borderId="0" xfId="325" applyNumberFormat="1" applyFont="1" applyFill="1" applyProtection="1">
      <protection locked="0"/>
    </xf>
    <xf numFmtId="0" fontId="62" fillId="0" borderId="0" xfId="312" applyFont="1" applyAlignment="1">
      <alignment horizontal="center" vertical="center"/>
    </xf>
    <xf numFmtId="3" fontId="11" fillId="0" borderId="3" xfId="0" applyNumberFormat="1" applyFont="1" applyBorder="1"/>
    <xf numFmtId="9" fontId="11" fillId="0" borderId="3" xfId="325" applyFont="1" applyFill="1" applyBorder="1" applyAlignment="1"/>
    <xf numFmtId="3" fontId="11" fillId="0" borderId="0" xfId="0" applyNumberFormat="1" applyFont="1" applyAlignment="1">
      <alignment wrapText="1"/>
    </xf>
    <xf numFmtId="0" fontId="11" fillId="0" borderId="3" xfId="312" applyFont="1" applyBorder="1" applyProtection="1">
      <protection locked="0"/>
    </xf>
    <xf numFmtId="3" fontId="11" fillId="0" borderId="3" xfId="0" applyNumberFormat="1" applyFont="1" applyBorder="1" applyAlignment="1">
      <alignment wrapText="1"/>
    </xf>
    <xf numFmtId="3" fontId="11" fillId="0" borderId="3" xfId="312" applyNumberFormat="1" applyFont="1" applyBorder="1" applyAlignment="1">
      <alignment horizontal="center"/>
    </xf>
    <xf numFmtId="3" fontId="11" fillId="0" borderId="0" xfId="312" applyNumberFormat="1" applyFont="1" applyAlignment="1">
      <alignment wrapText="1"/>
    </xf>
    <xf numFmtId="0" fontId="11" fillId="0" borderId="0" xfId="312" applyFont="1" applyAlignment="1" applyProtection="1">
      <alignment wrapText="1"/>
      <protection locked="0"/>
    </xf>
    <xf numFmtId="0" fontId="11" fillId="0" borderId="3" xfId="312" applyFont="1" applyBorder="1" applyAlignment="1" applyProtection="1">
      <alignment wrapText="1"/>
      <protection locked="0"/>
    </xf>
    <xf numFmtId="10" fontId="11" fillId="0" borderId="0" xfId="325" applyNumberFormat="1" applyFont="1" applyFill="1" applyAlignment="1">
      <alignment horizontal="right"/>
    </xf>
    <xf numFmtId="0" fontId="44" fillId="0" borderId="55" xfId="154" applyNumberFormat="1" applyFont="1" applyBorder="1" applyAlignment="1">
      <alignment horizontal="center"/>
    </xf>
    <xf numFmtId="0" fontId="44" fillId="0" borderId="56" xfId="154" applyNumberFormat="1" applyFont="1" applyBorder="1" applyAlignment="1">
      <alignment horizontal="center"/>
    </xf>
    <xf numFmtId="175" fontId="44" fillId="0" borderId="0" xfId="154" applyNumberFormat="1" applyFont="1" applyBorder="1" applyAlignment="1">
      <alignment wrapText="1"/>
    </xf>
    <xf numFmtId="175" fontId="44" fillId="0" borderId="3" xfId="154" applyNumberFormat="1" applyFont="1" applyBorder="1" applyAlignment="1">
      <alignment wrapText="1"/>
    </xf>
    <xf numFmtId="3" fontId="11" fillId="0" borderId="3" xfId="312" applyNumberFormat="1" applyFont="1" applyBorder="1" applyAlignment="1">
      <alignment wrapText="1"/>
    </xf>
    <xf numFmtId="0" fontId="29" fillId="0" borderId="0" xfId="300" applyFont="1" applyAlignment="1">
      <alignment horizontal="center" wrapText="1"/>
    </xf>
    <xf numFmtId="0" fontId="3" fillId="0" borderId="0" xfId="300" applyFont="1" applyAlignment="1">
      <alignment horizontal="center"/>
    </xf>
    <xf numFmtId="10" fontId="11" fillId="0" borderId="0" xfId="154" applyNumberFormat="1" applyFont="1" applyFill="1" applyAlignment="1"/>
    <xf numFmtId="175" fontId="11" fillId="21" borderId="13" xfId="154" applyNumberFormat="1" applyFont="1" applyFill="1" applyBorder="1" applyAlignment="1"/>
    <xf numFmtId="10" fontId="11" fillId="0" borderId="3" xfId="325" applyNumberFormat="1" applyFont="1" applyFill="1" applyBorder="1" applyAlignment="1"/>
    <xf numFmtId="0" fontId="162" fillId="0" borderId="0" xfId="312" applyFont="1" applyAlignment="1" applyProtection="1">
      <alignment horizontal="center"/>
      <protection locked="0"/>
    </xf>
    <xf numFmtId="0" fontId="162" fillId="0" borderId="0" xfId="312" applyFont="1" applyProtection="1">
      <protection locked="0"/>
    </xf>
    <xf numFmtId="0" fontId="163" fillId="0" borderId="0" xfId="312" applyFont="1"/>
    <xf numFmtId="1" fontId="46" fillId="21" borderId="0" xfId="154" applyNumberFormat="1" applyFont="1" applyFill="1" applyBorder="1" applyAlignment="1">
      <alignment horizontal="center"/>
    </xf>
    <xf numFmtId="1" fontId="46" fillId="0" borderId="0" xfId="154" applyNumberFormat="1" applyFont="1" applyFill="1" applyBorder="1" applyAlignment="1">
      <alignment horizontal="center"/>
    </xf>
    <xf numFmtId="0" fontId="45" fillId="0" borderId="31" xfId="300" applyFont="1" applyBorder="1" applyAlignment="1">
      <alignment horizontal="left"/>
    </xf>
    <xf numFmtId="175" fontId="46" fillId="21" borderId="38" xfId="172" applyNumberFormat="1" applyFont="1" applyFill="1" applyBorder="1" applyAlignment="1">
      <alignment horizontal="right"/>
    </xf>
    <xf numFmtId="0" fontId="46" fillId="0" borderId="3" xfId="300" applyFont="1" applyBorder="1" applyAlignment="1">
      <alignment horizontal="center"/>
    </xf>
    <xf numFmtId="0" fontId="59" fillId="0" borderId="3" xfId="300" applyFont="1" applyBorder="1" applyAlignment="1">
      <alignment horizontal="center"/>
    </xf>
    <xf numFmtId="3" fontId="59" fillId="0" borderId="3" xfId="300" applyNumberFormat="1" applyFont="1" applyBorder="1" applyAlignment="1">
      <alignment horizontal="center" wrapText="1"/>
    </xf>
    <xf numFmtId="0" fontId="59" fillId="0" borderId="3" xfId="300" applyFont="1" applyBorder="1" applyAlignment="1">
      <alignment horizontal="center" wrapText="1"/>
    </xf>
    <xf numFmtId="171" fontId="59" fillId="64" borderId="0" xfId="325" applyNumberFormat="1" applyFont="1" applyFill="1" applyBorder="1" applyAlignment="1">
      <alignment horizontal="center"/>
    </xf>
    <xf numFmtId="0" fontId="59" fillId="64" borderId="3" xfId="300" applyFont="1" applyFill="1" applyBorder="1" applyAlignment="1">
      <alignment horizontal="center"/>
    </xf>
    <xf numFmtId="0" fontId="4" fillId="0" borderId="3" xfId="300" applyBorder="1" applyAlignment="1">
      <alignment horizontal="center"/>
    </xf>
    <xf numFmtId="49" fontId="161" fillId="0" borderId="0" xfId="309" applyNumberFormat="1" applyFont="1" applyAlignment="1">
      <alignment horizontal="left" vertical="top" wrapText="1"/>
    </xf>
    <xf numFmtId="175" fontId="46" fillId="0" borderId="0" xfId="172" applyNumberFormat="1" applyFont="1" applyFill="1" applyBorder="1" applyAlignment="1">
      <alignment horizontal="right"/>
    </xf>
    <xf numFmtId="0" fontId="4" fillId="21" borderId="0" xfId="154" applyNumberFormat="1" applyFont="1" applyFill="1" applyBorder="1" applyAlignment="1">
      <alignment horizontal="center"/>
    </xf>
    <xf numFmtId="49" fontId="4" fillId="0" borderId="0" xfId="154" applyNumberFormat="1" applyFont="1" applyFill="1" applyBorder="1" applyAlignment="1">
      <alignment horizontal="center"/>
    </xf>
    <xf numFmtId="0" fontId="4" fillId="0" borderId="0" xfId="154" applyNumberFormat="1" applyFont="1" applyFill="1" applyBorder="1" applyAlignment="1">
      <alignment horizontal="center"/>
    </xf>
    <xf numFmtId="0" fontId="4" fillId="0" borderId="34" xfId="300" applyBorder="1" applyAlignment="1">
      <alignment horizontal="center"/>
    </xf>
    <xf numFmtId="0" fontId="29" fillId="0" borderId="34" xfId="300" applyFont="1" applyBorder="1" applyAlignment="1">
      <alignment horizontal="center" wrapText="1"/>
    </xf>
    <xf numFmtId="0" fontId="29" fillId="0" borderId="13" xfId="300" applyFont="1" applyBorder="1" applyAlignment="1">
      <alignment horizontal="left"/>
    </xf>
    <xf numFmtId="0" fontId="4" fillId="0" borderId="13" xfId="300" applyBorder="1" applyAlignment="1">
      <alignment horizontal="left"/>
    </xf>
    <xf numFmtId="0" fontId="29" fillId="0" borderId="13" xfId="300" applyFont="1" applyBorder="1" applyAlignment="1">
      <alignment horizontal="center" wrapText="1"/>
    </xf>
    <xf numFmtId="0" fontId="4" fillId="0" borderId="0" xfId="300" applyAlignment="1">
      <alignment horizontal="left" wrapText="1"/>
    </xf>
    <xf numFmtId="175" fontId="46" fillId="21" borderId="0" xfId="172" applyNumberFormat="1" applyFont="1" applyFill="1" applyBorder="1" applyAlignment="1">
      <alignment horizontal="right"/>
    </xf>
    <xf numFmtId="175" fontId="46" fillId="21" borderId="3" xfId="172" applyNumberFormat="1" applyFont="1" applyFill="1" applyBorder="1" applyAlignment="1">
      <alignment horizontal="right"/>
    </xf>
    <xf numFmtId="174" fontId="59" fillId="0" borderId="0" xfId="0" applyFont="1" applyAlignment="1">
      <alignment horizontal="center"/>
    </xf>
    <xf numFmtId="0" fontId="59" fillId="64" borderId="0" xfId="300" applyFont="1" applyFill="1"/>
    <xf numFmtId="0" fontId="59" fillId="0" borderId="0" xfId="300" applyFont="1"/>
    <xf numFmtId="174" fontId="146" fillId="0" borderId="0" xfId="0" applyFont="1"/>
    <xf numFmtId="174" fontId="0" fillId="0" borderId="13" xfId="0" applyBorder="1"/>
    <xf numFmtId="0" fontId="59" fillId="0" borderId="13" xfId="300" applyFont="1" applyBorder="1"/>
    <xf numFmtId="175" fontId="59" fillId="0" borderId="13" xfId="154" applyNumberFormat="1" applyFont="1" applyFill="1" applyBorder="1"/>
    <xf numFmtId="175" fontId="59" fillId="0" borderId="13" xfId="154" applyNumberFormat="1" applyFont="1" applyFill="1" applyBorder="1" applyAlignment="1">
      <alignment horizontal="center"/>
    </xf>
    <xf numFmtId="174" fontId="146" fillId="0" borderId="13" xfId="0" applyFont="1" applyBorder="1"/>
    <xf numFmtId="175" fontId="59" fillId="0" borderId="13" xfId="154" applyNumberFormat="1" applyFont="1" applyFill="1" applyBorder="1" applyAlignment="1">
      <alignment horizontal="center" wrapText="1"/>
    </xf>
    <xf numFmtId="174" fontId="14" fillId="0" borderId="13" xfId="0" applyFont="1" applyBorder="1"/>
    <xf numFmtId="0" fontId="49" fillId="63" borderId="12" xfId="300" applyFont="1" applyFill="1" applyBorder="1" applyAlignment="1">
      <alignment horizontal="center"/>
    </xf>
    <xf numFmtId="0" fontId="49" fillId="63" borderId="12" xfId="300" applyFont="1" applyFill="1" applyBorder="1" applyAlignment="1">
      <alignment horizontal="center" wrapText="1"/>
    </xf>
    <xf numFmtId="0" fontId="4" fillId="0" borderId="12" xfId="300" applyBorder="1" applyAlignment="1">
      <alignment wrapText="1"/>
    </xf>
    <xf numFmtId="0" fontId="4" fillId="0" borderId="62" xfId="300" applyBorder="1" applyAlignment="1">
      <alignment wrapText="1"/>
    </xf>
    <xf numFmtId="0" fontId="4" fillId="63" borderId="12" xfId="300" applyFill="1" applyBorder="1"/>
    <xf numFmtId="0" fontId="4" fillId="63" borderId="62" xfId="300" applyFill="1" applyBorder="1"/>
    <xf numFmtId="0" fontId="29" fillId="0" borderId="35" xfId="300" applyFont="1" applyBorder="1" applyAlignment="1">
      <alignment horizontal="center" wrapText="1"/>
    </xf>
    <xf numFmtId="175" fontId="4" fillId="64" borderId="0" xfId="172" applyNumberFormat="1" applyFont="1" applyFill="1" applyBorder="1" applyAlignment="1">
      <alignment horizontal="right"/>
    </xf>
    <xf numFmtId="0" fontId="29" fillId="56" borderId="34" xfId="300" applyFont="1" applyFill="1" applyBorder="1" applyAlignment="1">
      <alignment horizontal="center" wrapText="1"/>
    </xf>
    <xf numFmtId="9" fontId="4" fillId="64" borderId="0" xfId="325" applyFill="1" applyAlignment="1">
      <alignment horizontal="center"/>
    </xf>
    <xf numFmtId="9" fontId="4" fillId="21" borderId="0" xfId="325" applyFill="1" applyAlignment="1">
      <alignment horizontal="center"/>
    </xf>
    <xf numFmtId="0" fontId="29" fillId="63" borderId="39" xfId="300" applyFont="1" applyFill="1" applyBorder="1" applyAlignment="1">
      <alignment horizontal="left"/>
    </xf>
    <xf numFmtId="0" fontId="153" fillId="63" borderId="39" xfId="300" applyFont="1" applyFill="1" applyBorder="1" applyAlignment="1">
      <alignment horizontal="left"/>
    </xf>
    <xf numFmtId="0" fontId="55" fillId="63" borderId="12" xfId="300" applyFont="1" applyFill="1" applyBorder="1"/>
    <xf numFmtId="0" fontId="55" fillId="63" borderId="62" xfId="300" applyFont="1" applyFill="1" applyBorder="1"/>
    <xf numFmtId="0" fontId="29" fillId="0" borderId="34" xfId="299" applyFont="1" applyBorder="1" applyAlignment="1">
      <alignment horizontal="center" wrapText="1"/>
    </xf>
    <xf numFmtId="43" fontId="4" fillId="64" borderId="31" xfId="154" applyFont="1" applyFill="1" applyBorder="1"/>
    <xf numFmtId="174" fontId="154" fillId="0" borderId="0" xfId="0" applyFont="1"/>
    <xf numFmtId="175" fontId="4" fillId="0" borderId="13" xfId="300" applyNumberFormat="1" applyBorder="1"/>
    <xf numFmtId="0" fontId="49" fillId="63" borderId="39" xfId="300" applyFont="1" applyFill="1" applyBorder="1" applyAlignment="1">
      <alignment horizontal="left"/>
    </xf>
    <xf numFmtId="0" fontId="52" fillId="63" borderId="62" xfId="300" applyFont="1" applyFill="1" applyBorder="1" applyAlignment="1">
      <alignment horizontal="center" wrapText="1"/>
    </xf>
    <xf numFmtId="0" fontId="50" fillId="63" borderId="12" xfId="300" applyFont="1" applyFill="1" applyBorder="1" applyAlignment="1">
      <alignment horizontal="center" wrapText="1"/>
    </xf>
    <xf numFmtId="0" fontId="29" fillId="0" borderId="35" xfId="300" applyFont="1" applyBorder="1" applyAlignment="1">
      <alignment horizontal="center"/>
    </xf>
    <xf numFmtId="0" fontId="48" fillId="0" borderId="34" xfId="300" applyFont="1" applyBorder="1"/>
    <xf numFmtId="0" fontId="44" fillId="0" borderId="34" xfId="300" applyFont="1" applyBorder="1"/>
    <xf numFmtId="3" fontId="51" fillId="0" borderId="34" xfId="300" applyNumberFormat="1" applyFont="1" applyBorder="1" applyAlignment="1">
      <alignment horizontal="center"/>
    </xf>
    <xf numFmtId="3" fontId="4" fillId="0" borderId="34" xfId="300" applyNumberFormat="1" applyBorder="1"/>
    <xf numFmtId="0" fontId="29" fillId="0" borderId="34" xfId="300" applyFont="1" applyBorder="1" applyAlignment="1">
      <alignment horizontal="center"/>
    </xf>
    <xf numFmtId="0" fontId="46" fillId="0" borderId="3" xfId="300" applyFont="1" applyBorder="1" applyAlignment="1">
      <alignment horizontal="center" wrapText="1"/>
    </xf>
    <xf numFmtId="0" fontId="4" fillId="0" borderId="3" xfId="300" applyBorder="1" applyAlignment="1">
      <alignment horizontal="center" wrapText="1"/>
    </xf>
    <xf numFmtId="0" fontId="44" fillId="0" borderId="3" xfId="300" applyFont="1" applyBorder="1" applyAlignment="1">
      <alignment horizontal="center"/>
    </xf>
    <xf numFmtId="0" fontId="4" fillId="0" borderId="38" xfId="300" applyBorder="1" applyAlignment="1">
      <alignment horizontal="center" wrapText="1"/>
    </xf>
    <xf numFmtId="10" fontId="4" fillId="0" borderId="13" xfId="300" applyNumberFormat="1" applyBorder="1" applyAlignment="1">
      <alignment horizontal="center" wrapText="1"/>
    </xf>
    <xf numFmtId="175" fontId="4" fillId="0" borderId="32" xfId="300" applyNumberFormat="1" applyBorder="1" applyAlignment="1">
      <alignment horizontal="center" wrapText="1"/>
    </xf>
    <xf numFmtId="175" fontId="4" fillId="0" borderId="13" xfId="154" applyNumberFormat="1" applyBorder="1"/>
    <xf numFmtId="175" fontId="45" fillId="0" borderId="0" xfId="154" applyNumberFormat="1" applyFont="1" applyBorder="1" applyAlignment="1">
      <alignment horizontal="center"/>
    </xf>
    <xf numFmtId="1" fontId="45" fillId="0" borderId="3" xfId="154" applyNumberFormat="1" applyFont="1" applyFill="1" applyBorder="1" applyAlignment="1">
      <alignment horizontal="center"/>
    </xf>
    <xf numFmtId="0" fontId="46" fillId="0" borderId="31" xfId="154" applyNumberFormat="1" applyFont="1" applyFill="1" applyBorder="1" applyAlignment="1">
      <alignment horizontal="center"/>
    </xf>
    <xf numFmtId="0" fontId="46" fillId="0" borderId="34" xfId="300" applyFont="1" applyBorder="1" applyAlignment="1">
      <alignment horizontal="center"/>
    </xf>
    <xf numFmtId="174" fontId="46" fillId="0" borderId="13" xfId="0" applyFont="1" applyBorder="1" applyAlignment="1">
      <alignment horizontal="center"/>
    </xf>
    <xf numFmtId="175" fontId="62" fillId="0" borderId="3" xfId="154" applyNumberFormat="1" applyFont="1" applyFill="1" applyBorder="1"/>
    <xf numFmtId="43" fontId="62" fillId="0" borderId="3" xfId="298" applyNumberFormat="1" applyFont="1" applyBorder="1"/>
    <xf numFmtId="0" fontId="62" fillId="0" borderId="3" xfId="298" applyFont="1" applyBorder="1"/>
    <xf numFmtId="1" fontId="11" fillId="0" borderId="0" xfId="298" applyNumberFormat="1" applyFont="1" applyAlignment="1">
      <alignment horizontal="center"/>
    </xf>
    <xf numFmtId="49" fontId="11" fillId="0" borderId="0" xfId="298" applyNumberFormat="1" applyFont="1" applyAlignment="1">
      <alignment horizontal="center" vertical="center"/>
    </xf>
    <xf numFmtId="1" fontId="11" fillId="0" borderId="0" xfId="298" applyNumberFormat="1" applyFont="1" applyAlignment="1">
      <alignment horizontal="center" vertical="center"/>
    </xf>
    <xf numFmtId="49" fontId="60" fillId="0" borderId="0" xfId="298" applyNumberFormat="1" applyFont="1" applyAlignment="1">
      <alignment horizontal="center" vertical="center"/>
    </xf>
    <xf numFmtId="43" fontId="46" fillId="0" borderId="3" xfId="154" applyFont="1" applyFill="1" applyBorder="1"/>
    <xf numFmtId="174" fontId="46" fillId="0" borderId="3" xfId="0" applyFont="1" applyBorder="1" applyAlignment="1" applyProtection="1">
      <alignment horizontal="center"/>
      <protection locked="0"/>
    </xf>
    <xf numFmtId="49" fontId="46" fillId="0" borderId="0" xfId="0" applyNumberFormat="1" applyFont="1" applyProtection="1">
      <protection locked="0"/>
    </xf>
    <xf numFmtId="1" fontId="46" fillId="21" borderId="0" xfId="0" applyNumberFormat="1" applyFont="1" applyFill="1" applyAlignment="1" applyProtection="1">
      <alignment horizontal="center"/>
      <protection locked="0"/>
    </xf>
    <xf numFmtId="174" fontId="46" fillId="21" borderId="0" xfId="0" applyFont="1" applyFill="1" applyAlignment="1" applyProtection="1">
      <alignment horizontal="center"/>
      <protection locked="0"/>
    </xf>
    <xf numFmtId="49" fontId="46" fillId="21" borderId="0" xfId="154" applyNumberFormat="1" applyFont="1" applyFill="1" applyAlignment="1" applyProtection="1">
      <alignment horizontal="center"/>
      <protection locked="0"/>
    </xf>
    <xf numFmtId="1" fontId="46" fillId="0" borderId="0" xfId="154" applyNumberFormat="1" applyFont="1" applyFill="1" applyAlignment="1" applyProtection="1">
      <alignment horizontal="center"/>
      <protection locked="0"/>
    </xf>
    <xf numFmtId="0" fontId="4" fillId="0" borderId="3" xfId="313" applyBorder="1" applyAlignment="1">
      <alignment horizontal="center" wrapText="1"/>
    </xf>
    <xf numFmtId="0" fontId="4" fillId="0" borderId="0" xfId="313" applyAlignment="1">
      <alignment vertical="center"/>
    </xf>
    <xf numFmtId="0" fontId="29" fillId="0" borderId="3" xfId="313" applyFont="1" applyBorder="1" applyAlignment="1">
      <alignment horizontal="center" wrapText="1"/>
    </xf>
    <xf numFmtId="10" fontId="46" fillId="21" borderId="0" xfId="325" applyNumberFormat="1" applyFont="1" applyFill="1" applyAlignment="1" applyProtection="1">
      <alignment horizontal="center"/>
      <protection locked="0"/>
    </xf>
    <xf numFmtId="10" fontId="4" fillId="0" borderId="0" xfId="325" applyNumberFormat="1"/>
    <xf numFmtId="10" fontId="4" fillId="0" borderId="0" xfId="325" applyNumberFormat="1" applyAlignment="1">
      <alignment horizontal="center"/>
    </xf>
    <xf numFmtId="1" fontId="46" fillId="0" borderId="0" xfId="0" applyNumberFormat="1" applyFont="1" applyAlignment="1" applyProtection="1">
      <alignment horizontal="center"/>
      <protection locked="0"/>
    </xf>
    <xf numFmtId="0" fontId="11" fillId="0" borderId="3" xfId="0" applyNumberFormat="1" applyFont="1" applyBorder="1" applyAlignment="1">
      <alignment horizontal="center"/>
    </xf>
    <xf numFmtId="0" fontId="0" fillId="0" borderId="3" xfId="0" applyNumberFormat="1" applyBorder="1" applyAlignment="1">
      <alignment horizontal="center"/>
    </xf>
    <xf numFmtId="2" fontId="0" fillId="0" borderId="3" xfId="0" applyNumberFormat="1" applyBorder="1" applyAlignment="1">
      <alignment horizontal="center" wrapText="1"/>
    </xf>
    <xf numFmtId="10" fontId="0" fillId="0" borderId="0" xfId="325" applyNumberFormat="1" applyFont="1" applyAlignment="1">
      <alignment horizontal="center"/>
    </xf>
    <xf numFmtId="10" fontId="24" fillId="0" borderId="0" xfId="325" applyNumberFormat="1" applyFont="1" applyFill="1" applyAlignment="1">
      <alignment horizontal="center"/>
    </xf>
    <xf numFmtId="10" fontId="0" fillId="0" borderId="0" xfId="325" applyNumberFormat="1" applyFont="1" applyAlignment="1">
      <alignment horizontal="center" wrapText="1"/>
    </xf>
    <xf numFmtId="0" fontId="44" fillId="0" borderId="55" xfId="309" applyFont="1" applyBorder="1" applyAlignment="1">
      <alignment horizontal="center"/>
    </xf>
    <xf numFmtId="0" fontId="44" fillId="0" borderId="27" xfId="309" applyFont="1" applyBorder="1" applyAlignment="1">
      <alignment horizontal="center"/>
    </xf>
    <xf numFmtId="0" fontId="44" fillId="0" borderId="27" xfId="154" applyNumberFormat="1" applyFont="1" applyBorder="1" applyAlignment="1">
      <alignment horizontal="center"/>
    </xf>
    <xf numFmtId="49" fontId="44" fillId="0" borderId="0" xfId="154" applyNumberFormat="1" applyFont="1"/>
    <xf numFmtId="174" fontId="0" fillId="0" borderId="35" xfId="0" applyBorder="1"/>
    <xf numFmtId="174" fontId="44" fillId="0" borderId="64" xfId="305" applyFont="1" applyBorder="1"/>
    <xf numFmtId="1" fontId="44" fillId="0" borderId="34" xfId="305" applyNumberFormat="1" applyFont="1" applyBorder="1" applyAlignment="1">
      <alignment horizontal="center"/>
    </xf>
    <xf numFmtId="174" fontId="44" fillId="0" borderId="34" xfId="305" applyFont="1" applyBorder="1" applyAlignment="1">
      <alignment horizontal="center"/>
    </xf>
    <xf numFmtId="174" fontId="44" fillId="0" borderId="34" xfId="0" applyFont="1" applyBorder="1"/>
    <xf numFmtId="174" fontId="44" fillId="0" borderId="36" xfId="0" applyFont="1" applyBorder="1"/>
    <xf numFmtId="174" fontId="0" fillId="0" borderId="31" xfId="0" applyBorder="1"/>
    <xf numFmtId="174" fontId="44" fillId="0" borderId="0" xfId="0" applyFont="1" applyAlignment="1">
      <alignment horizontal="center" wrapText="1"/>
    </xf>
    <xf numFmtId="174" fontId="44" fillId="0" borderId="29" xfId="0" applyFont="1" applyBorder="1" applyAlignment="1">
      <alignment horizontal="center" wrapText="1"/>
    </xf>
    <xf numFmtId="175" fontId="44" fillId="0" borderId="29" xfId="154" applyNumberFormat="1" applyFont="1" applyBorder="1"/>
    <xf numFmtId="49" fontId="44" fillId="64" borderId="31" xfId="305" applyNumberFormat="1" applyFont="1" applyFill="1" applyBorder="1"/>
    <xf numFmtId="174" fontId="44" fillId="0" borderId="33" xfId="0" applyFont="1" applyBorder="1"/>
    <xf numFmtId="0" fontId="44" fillId="0" borderId="13" xfId="307" applyFont="1" applyBorder="1"/>
    <xf numFmtId="175" fontId="44" fillId="0" borderId="13" xfId="154" applyNumberFormat="1" applyFont="1" applyBorder="1"/>
    <xf numFmtId="175" fontId="44" fillId="0" borderId="32" xfId="154" applyNumberFormat="1" applyFont="1" applyBorder="1"/>
    <xf numFmtId="175" fontId="44" fillId="0" borderId="38" xfId="154" applyNumberFormat="1" applyFont="1" applyBorder="1"/>
    <xf numFmtId="174" fontId="44" fillId="0" borderId="3" xfId="0" applyFont="1" applyBorder="1" applyAlignment="1">
      <alignment horizontal="center"/>
    </xf>
    <xf numFmtId="175" fontId="44" fillId="64" borderId="0" xfId="154" applyNumberFormat="1" applyFont="1" applyFill="1"/>
    <xf numFmtId="10" fontId="44" fillId="0" borderId="0" xfId="325" applyNumberFormat="1" applyFont="1"/>
    <xf numFmtId="49" fontId="44" fillId="0" borderId="0" xfId="154" applyNumberFormat="1" applyFont="1" applyAlignment="1">
      <alignment wrapText="1"/>
    </xf>
    <xf numFmtId="174" fontId="44" fillId="0" borderId="3" xfId="0" applyFont="1" applyBorder="1" applyAlignment="1">
      <alignment horizontal="center" wrapText="1"/>
    </xf>
    <xf numFmtId="175" fontId="0" fillId="0" borderId="0" xfId="154" applyNumberFormat="1" applyFont="1" applyFill="1"/>
    <xf numFmtId="10" fontId="11" fillId="0" borderId="0" xfId="325" applyNumberFormat="1" applyFont="1"/>
    <xf numFmtId="10" fontId="46" fillId="0" borderId="29" xfId="325" applyNumberFormat="1" applyFont="1" applyBorder="1"/>
    <xf numFmtId="10" fontId="46" fillId="0" borderId="6" xfId="325" applyNumberFormat="1" applyFont="1" applyBorder="1"/>
    <xf numFmtId="180" fontId="11" fillId="0" borderId="0" xfId="325" applyNumberFormat="1" applyFont="1" applyAlignment="1"/>
    <xf numFmtId="175" fontId="11" fillId="21" borderId="0" xfId="154" applyNumberFormat="1" applyFont="1" applyFill="1" applyBorder="1" applyAlignment="1"/>
    <xf numFmtId="0" fontId="50" fillId="0" borderId="0" xfId="300" applyFont="1" applyAlignment="1">
      <alignment horizontal="center" wrapText="1"/>
    </xf>
    <xf numFmtId="175" fontId="59" fillId="64" borderId="39" xfId="154" applyNumberFormat="1" applyFont="1" applyFill="1" applyBorder="1" applyAlignment="1">
      <alignment horizontal="center"/>
    </xf>
    <xf numFmtId="175" fontId="59" fillId="64" borderId="12" xfId="154" applyNumberFormat="1" applyFont="1" applyFill="1" applyBorder="1" applyAlignment="1">
      <alignment horizontal="center"/>
    </xf>
    <xf numFmtId="175" fontId="59" fillId="64" borderId="62" xfId="154" applyNumberFormat="1" applyFont="1" applyFill="1" applyBorder="1" applyAlignment="1">
      <alignment horizontal="center"/>
    </xf>
    <xf numFmtId="0" fontId="4" fillId="0" borderId="65" xfId="300" applyBorder="1" applyAlignment="1">
      <alignment horizontal="center"/>
    </xf>
    <xf numFmtId="0" fontId="4" fillId="0" borderId="66" xfId="300" applyBorder="1" applyAlignment="1">
      <alignment horizontal="center"/>
    </xf>
    <xf numFmtId="175" fontId="4" fillId="0" borderId="65" xfId="172" applyNumberFormat="1" applyFont="1" applyFill="1" applyBorder="1" applyAlignment="1">
      <alignment horizontal="center"/>
    </xf>
    <xf numFmtId="0" fontId="4" fillId="0" borderId="38" xfId="300" applyBorder="1" applyAlignment="1">
      <alignment horizontal="center"/>
    </xf>
    <xf numFmtId="165" fontId="4" fillId="0" borderId="0" xfId="312" applyNumberFormat="1" applyFont="1"/>
    <xf numFmtId="3" fontId="4" fillId="0" borderId="0" xfId="312" applyNumberFormat="1" applyFont="1"/>
    <xf numFmtId="3" fontId="4" fillId="0" borderId="0" xfId="312" applyNumberFormat="1" applyFont="1" applyAlignment="1">
      <alignment horizontal="right"/>
    </xf>
    <xf numFmtId="0" fontId="4" fillId="0" borderId="0" xfId="312" applyFont="1"/>
    <xf numFmtId="175" fontId="4" fillId="0" borderId="0" xfId="154" applyNumberFormat="1" applyFont="1" applyBorder="1"/>
    <xf numFmtId="165" fontId="11" fillId="0" borderId="0" xfId="312" applyNumberFormat="1" applyFont="1"/>
    <xf numFmtId="0" fontId="4" fillId="0" borderId="31" xfId="312" applyFont="1" applyBorder="1"/>
    <xf numFmtId="175" fontId="4" fillId="0" borderId="13" xfId="172" applyNumberFormat="1" applyFont="1" applyFill="1" applyBorder="1"/>
    <xf numFmtId="175" fontId="4" fillId="0" borderId="65" xfId="172" applyNumberFormat="1" applyFont="1" applyFill="1" applyBorder="1"/>
    <xf numFmtId="175" fontId="4" fillId="0" borderId="0" xfId="154" applyNumberFormat="1" applyFont="1" applyFill="1" applyBorder="1" applyAlignment="1"/>
    <xf numFmtId="175" fontId="4" fillId="21" borderId="29" xfId="172" applyNumberFormat="1" applyFont="1" applyFill="1" applyBorder="1" applyAlignment="1">
      <alignment horizontal="right"/>
    </xf>
    <xf numFmtId="3" fontId="4" fillId="0" borderId="29" xfId="312" applyNumberFormat="1" applyFont="1" applyBorder="1"/>
    <xf numFmtId="175" fontId="4" fillId="0" borderId="29" xfId="172" applyNumberFormat="1" applyFont="1" applyFill="1" applyBorder="1" applyAlignment="1">
      <alignment horizontal="right"/>
    </xf>
    <xf numFmtId="174" fontId="46" fillId="0" borderId="0" xfId="0" applyFont="1" applyAlignment="1" applyProtection="1">
      <alignment horizontal="center" wrapText="1"/>
      <protection locked="0"/>
    </xf>
    <xf numFmtId="5" fontId="46" fillId="0" borderId="0" xfId="0" applyNumberFormat="1" applyFont="1" applyAlignment="1" applyProtection="1">
      <alignment horizontal="center"/>
      <protection locked="0"/>
    </xf>
    <xf numFmtId="174" fontId="46" fillId="0" borderId="3" xfId="0" applyFont="1" applyBorder="1" applyAlignment="1" applyProtection="1">
      <alignment horizontal="center" wrapText="1"/>
      <protection locked="0"/>
    </xf>
    <xf numFmtId="0" fontId="46" fillId="0" borderId="0" xfId="300" applyFont="1" applyAlignment="1">
      <alignment horizontal="center" vertical="top"/>
    </xf>
    <xf numFmtId="0" fontId="46" fillId="64" borderId="0" xfId="0" applyNumberFormat="1" applyFont="1" applyFill="1" applyAlignment="1">
      <alignment horizontal="left"/>
    </xf>
    <xf numFmtId="175" fontId="46" fillId="64" borderId="8" xfId="154" applyNumberFormat="1" applyFont="1" applyFill="1" applyBorder="1"/>
    <xf numFmtId="0" fontId="6" fillId="0" borderId="0" xfId="525" applyFont="1" applyAlignment="1">
      <alignment horizontal="center"/>
    </xf>
    <xf numFmtId="174" fontId="164" fillId="0" borderId="0" xfId="0" applyFont="1"/>
    <xf numFmtId="174" fontId="11" fillId="0" borderId="3" xfId="0" applyFont="1" applyBorder="1" applyAlignment="1">
      <alignment horizontal="center" wrapText="1"/>
    </xf>
    <xf numFmtId="174" fontId="11" fillId="0" borderId="0" xfId="0" applyFont="1"/>
    <xf numFmtId="3" fontId="164" fillId="0" borderId="0" xfId="526" applyNumberFormat="1" applyFont="1" applyFill="1" applyBorder="1"/>
    <xf numFmtId="164" fontId="11" fillId="0" borderId="0" xfId="331" applyNumberFormat="1" applyFont="1"/>
    <xf numFmtId="3" fontId="11" fillId="0" borderId="0" xfId="164" applyNumberFormat="1" applyFont="1" applyFill="1" applyBorder="1"/>
    <xf numFmtId="3" fontId="11" fillId="0" borderId="0" xfId="526" applyNumberFormat="1" applyFont="1" applyFill="1" applyBorder="1"/>
    <xf numFmtId="0" fontId="3" fillId="0" borderId="0" xfId="0" applyNumberFormat="1" applyFont="1"/>
    <xf numFmtId="174" fontId="58" fillId="0" borderId="0" xfId="0" applyFont="1"/>
    <xf numFmtId="0" fontId="3" fillId="0" borderId="0" xfId="525" applyFont="1" applyAlignment="1">
      <alignment horizontal="center"/>
    </xf>
    <xf numFmtId="174" fontId="11" fillId="0" borderId="0" xfId="0" applyFont="1" applyAlignment="1">
      <alignment horizontal="left"/>
    </xf>
    <xf numFmtId="0" fontId="11" fillId="64" borderId="0" xfId="525" applyFont="1" applyFill="1" applyAlignment="1">
      <alignment horizontal="left"/>
    </xf>
    <xf numFmtId="0" fontId="11" fillId="0" borderId="0" xfId="525" applyFont="1"/>
    <xf numFmtId="0" fontId="11" fillId="0" borderId="0" xfId="525" applyFont="1" applyAlignment="1">
      <alignment horizontal="left"/>
    </xf>
    <xf numFmtId="0" fontId="11" fillId="0" borderId="3" xfId="525" applyFont="1" applyBorder="1" applyAlignment="1">
      <alignment horizontal="center" vertical="top" wrapText="1"/>
    </xf>
    <xf numFmtId="0" fontId="11" fillId="0" borderId="0" xfId="525" applyFont="1" applyAlignment="1">
      <alignment horizontal="center"/>
    </xf>
    <xf numFmtId="43" fontId="11" fillId="0" borderId="0" xfId="172" applyFont="1"/>
    <xf numFmtId="0" fontId="11" fillId="64" borderId="0" xfId="172" applyNumberFormat="1" applyFont="1" applyFill="1" applyAlignment="1">
      <alignment horizontal="center"/>
    </xf>
    <xf numFmtId="0" fontId="11" fillId="0" borderId="0" xfId="172" applyNumberFormat="1" applyFont="1" applyFill="1" applyAlignment="1">
      <alignment horizontal="center"/>
    </xf>
    <xf numFmtId="10" fontId="11" fillId="0" borderId="0" xfId="331" applyNumberFormat="1" applyFont="1"/>
    <xf numFmtId="3" fontId="11" fillId="0" borderId="0" xfId="172" applyNumberFormat="1" applyFont="1"/>
    <xf numFmtId="3" fontId="11" fillId="64" borderId="0" xfId="172" applyNumberFormat="1" applyFont="1" applyFill="1"/>
    <xf numFmtId="3" fontId="11" fillId="0" borderId="0" xfId="525" applyNumberFormat="1" applyFont="1"/>
    <xf numFmtId="3" fontId="11" fillId="0" borderId="0" xfId="172" applyNumberFormat="1" applyFont="1" applyFill="1"/>
    <xf numFmtId="164" fontId="11" fillId="0" borderId="0" xfId="325" applyNumberFormat="1" applyFont="1" applyFill="1"/>
    <xf numFmtId="3" fontId="11" fillId="0" borderId="0" xfId="331" applyNumberFormat="1" applyFont="1" applyFill="1"/>
    <xf numFmtId="164" fontId="11" fillId="0" borderId="0" xfId="331" applyNumberFormat="1" applyFont="1" applyFill="1"/>
    <xf numFmtId="175" fontId="165" fillId="0" borderId="0" xfId="180" applyNumberFormat="1" applyFont="1" applyAlignment="1">
      <alignment vertical="center" wrapText="1"/>
    </xf>
    <xf numFmtId="175" fontId="165" fillId="0" borderId="0" xfId="180" applyNumberFormat="1" applyFont="1" applyAlignment="1">
      <alignment horizontal="right" vertical="center" wrapText="1"/>
    </xf>
    <xf numFmtId="175" fontId="165" fillId="64" borderId="0" xfId="180" applyNumberFormat="1" applyFont="1" applyFill="1" applyAlignment="1">
      <alignment vertical="center" wrapText="1"/>
    </xf>
    <xf numFmtId="175" fontId="165" fillId="0" borderId="3" xfId="180" applyNumberFormat="1" applyFont="1" applyBorder="1" applyAlignment="1">
      <alignment vertical="center" wrapText="1"/>
    </xf>
    <xf numFmtId="3" fontId="11" fillId="64" borderId="3" xfId="172" applyNumberFormat="1" applyFont="1" applyFill="1" applyBorder="1"/>
    <xf numFmtId="3" fontId="11" fillId="0" borderId="3" xfId="525" applyNumberFormat="1" applyFont="1" applyBorder="1"/>
    <xf numFmtId="3" fontId="164" fillId="64" borderId="0" xfId="172" applyNumberFormat="1" applyFont="1" applyFill="1"/>
    <xf numFmtId="3" fontId="164" fillId="0" borderId="0" xfId="525" applyNumberFormat="1" applyFont="1"/>
    <xf numFmtId="175" fontId="168" fillId="0" borderId="0" xfId="154" applyNumberFormat="1" applyFont="1"/>
    <xf numFmtId="0" fontId="11" fillId="0" borderId="0" xfId="525" applyFont="1" applyAlignment="1">
      <alignment horizontal="left" wrapText="1"/>
    </xf>
    <xf numFmtId="175" fontId="11" fillId="0" borderId="0" xfId="525" applyNumberFormat="1" applyFont="1"/>
    <xf numFmtId="174" fontId="3" fillId="0" borderId="0" xfId="0" applyFont="1" applyAlignment="1">
      <alignment horizontal="left"/>
    </xf>
    <xf numFmtId="0" fontId="60" fillId="0" borderId="0" xfId="524" applyFont="1" applyAlignment="1">
      <alignment horizontal="right" wrapText="1"/>
    </xf>
    <xf numFmtId="174" fontId="165" fillId="0" borderId="0" xfId="0" applyFont="1"/>
    <xf numFmtId="174" fontId="0" fillId="64" borderId="0" xfId="0" applyFill="1"/>
    <xf numFmtId="0" fontId="165" fillId="0" borderId="0" xfId="309" applyFont="1"/>
    <xf numFmtId="0" fontId="171" fillId="0" borderId="0" xfId="309" applyFont="1"/>
    <xf numFmtId="0" fontId="171" fillId="0" borderId="0" xfId="309" applyFont="1" applyAlignment="1">
      <alignment vertical="center"/>
    </xf>
    <xf numFmtId="0" fontId="6" fillId="0" borderId="42" xfId="525" applyFont="1" applyBorder="1" applyAlignment="1">
      <alignment horizontal="center"/>
    </xf>
    <xf numFmtId="174" fontId="0" fillId="0" borderId="17" xfId="0" applyBorder="1"/>
    <xf numFmtId="0" fontId="165" fillId="0" borderId="68" xfId="309" applyFont="1" applyBorder="1" applyAlignment="1">
      <alignment horizontal="center" vertical="center" wrapText="1"/>
    </xf>
    <xf numFmtId="0" fontId="165" fillId="0" borderId="0" xfId="309" applyFont="1" applyAlignment="1">
      <alignment horizontal="center" vertical="center" wrapText="1"/>
    </xf>
    <xf numFmtId="0" fontId="166" fillId="0" borderId="68" xfId="309" applyFont="1" applyBorder="1" applyAlignment="1">
      <alignment horizontal="center" vertical="center" wrapText="1"/>
    </xf>
    <xf numFmtId="0" fontId="166" fillId="0" borderId="0" xfId="309" applyFont="1"/>
    <xf numFmtId="15" fontId="165" fillId="0" borderId="0" xfId="309" applyNumberFormat="1" applyFont="1" applyAlignment="1">
      <alignment vertical="center" wrapText="1"/>
    </xf>
    <xf numFmtId="3" fontId="165" fillId="0" borderId="0" xfId="180" applyNumberFormat="1" applyFont="1" applyAlignment="1">
      <alignment vertical="center" wrapText="1"/>
    </xf>
    <xf numFmtId="3" fontId="165" fillId="64" borderId="0" xfId="180" applyNumberFormat="1" applyFont="1" applyFill="1" applyAlignment="1">
      <alignment vertical="center" wrapText="1"/>
    </xf>
    <xf numFmtId="3" fontId="165" fillId="0" borderId="0" xfId="180" applyNumberFormat="1" applyFont="1" applyAlignment="1">
      <alignment horizontal="left" vertical="center" wrapText="1"/>
    </xf>
    <xf numFmtId="3" fontId="165" fillId="0" borderId="0" xfId="309" applyNumberFormat="1" applyFont="1" applyAlignment="1">
      <alignment horizontal="left" vertical="center"/>
    </xf>
    <xf numFmtId="3" fontId="166" fillId="0" borderId="0" xfId="180" applyNumberFormat="1" applyFont="1" applyAlignment="1">
      <alignment vertical="center" wrapText="1"/>
    </xf>
    <xf numFmtId="3" fontId="166" fillId="0" borderId="0" xfId="180" applyNumberFormat="1" applyFont="1" applyFill="1" applyAlignment="1">
      <alignment vertical="center" wrapText="1"/>
    </xf>
    <xf numFmtId="3" fontId="166" fillId="0" borderId="0" xfId="528" applyNumberFormat="1" applyFont="1" applyFill="1" applyAlignment="1">
      <alignment vertical="center" wrapText="1"/>
    </xf>
    <xf numFmtId="0" fontId="165" fillId="0" borderId="5" xfId="309" applyFont="1" applyBorder="1" applyAlignment="1">
      <alignment vertical="center" wrapText="1"/>
    </xf>
    <xf numFmtId="175" fontId="165" fillId="0" borderId="5" xfId="309" applyNumberFormat="1" applyFont="1" applyBorder="1" applyAlignment="1">
      <alignment vertical="center" wrapText="1"/>
    </xf>
    <xf numFmtId="0" fontId="165" fillId="0" borderId="5" xfId="309" applyFont="1" applyBorder="1" applyAlignment="1">
      <alignment horizontal="right" vertical="center" wrapText="1"/>
    </xf>
    <xf numFmtId="3" fontId="165" fillId="0" borderId="5" xfId="180" applyNumberFormat="1" applyFont="1" applyBorder="1" applyAlignment="1">
      <alignment vertical="center" wrapText="1"/>
    </xf>
    <xf numFmtId="3" fontId="165" fillId="0" borderId="5" xfId="309" applyNumberFormat="1" applyFont="1" applyBorder="1" applyAlignment="1">
      <alignment horizontal="right" vertical="center" wrapText="1"/>
    </xf>
    <xf numFmtId="3" fontId="165" fillId="0" borderId="5" xfId="180" applyNumberFormat="1" applyFont="1" applyFill="1" applyBorder="1" applyAlignment="1">
      <alignment vertical="center" wrapText="1"/>
    </xf>
    <xf numFmtId="3" fontId="166" fillId="0" borderId="5" xfId="309" applyNumberFormat="1" applyFont="1" applyBorder="1"/>
    <xf numFmtId="41" fontId="62" fillId="0" borderId="0" xfId="298" applyNumberFormat="1" applyFont="1"/>
    <xf numFmtId="41" fontId="46" fillId="21" borderId="3" xfId="164" applyFont="1" applyFill="1" applyBorder="1"/>
    <xf numFmtId="175" fontId="165" fillId="0" borderId="0" xfId="154" applyNumberFormat="1" applyFont="1" applyAlignment="1">
      <alignment horizontal="center"/>
    </xf>
    <xf numFmtId="175" fontId="46" fillId="21" borderId="3" xfId="172" applyNumberFormat="1" applyFont="1" applyFill="1" applyBorder="1" applyAlignment="1">
      <alignment horizontal="center" wrapText="1"/>
    </xf>
    <xf numFmtId="175" fontId="46" fillId="0" borderId="3" xfId="172" applyNumberFormat="1" applyFont="1" applyFill="1" applyBorder="1" applyAlignment="1">
      <alignment horizontal="right"/>
    </xf>
    <xf numFmtId="0" fontId="165" fillId="0" borderId="0" xfId="527" applyFont="1" applyAlignment="1">
      <alignment horizontal="left" vertical="center" wrapText="1"/>
    </xf>
    <xf numFmtId="175" fontId="165" fillId="0" borderId="0" xfId="180" applyNumberFormat="1" applyFont="1" applyFill="1" applyAlignment="1">
      <alignment vertical="center" wrapText="1"/>
    </xf>
    <xf numFmtId="0" fontId="53" fillId="0" borderId="0" xfId="300" applyFont="1" applyAlignment="1">
      <alignment horizontal="left"/>
    </xf>
    <xf numFmtId="3" fontId="46" fillId="0" borderId="0" xfId="300" applyNumberFormat="1" applyFont="1"/>
    <xf numFmtId="3" fontId="4" fillId="0" borderId="0" xfId="300" applyNumberFormat="1" applyAlignment="1">
      <alignment horizontal="right"/>
    </xf>
    <xf numFmtId="3" fontId="65" fillId="0" borderId="0" xfId="300" applyNumberFormat="1" applyFont="1" applyAlignment="1">
      <alignment horizontal="center"/>
    </xf>
    <xf numFmtId="3" fontId="46" fillId="0" borderId="0" xfId="300" applyNumberFormat="1" applyFont="1" applyAlignment="1">
      <alignment horizontal="left"/>
    </xf>
    <xf numFmtId="3" fontId="46" fillId="0" borderId="0" xfId="300" applyNumberFormat="1" applyFont="1" applyAlignment="1">
      <alignment wrapText="1"/>
    </xf>
    <xf numFmtId="175" fontId="46" fillId="0" borderId="0" xfId="172" applyNumberFormat="1" applyFont="1" applyBorder="1" applyAlignment="1">
      <alignment horizontal="right"/>
    </xf>
    <xf numFmtId="0" fontId="158" fillId="0" borderId="29" xfId="300" applyFont="1" applyBorder="1"/>
    <xf numFmtId="0" fontId="158" fillId="0" borderId="29" xfId="300" applyFont="1" applyBorder="1" applyAlignment="1">
      <alignment horizontal="center"/>
    </xf>
    <xf numFmtId="175" fontId="4" fillId="0" borderId="13" xfId="172" applyNumberFormat="1" applyFont="1" applyFill="1" applyBorder="1" applyAlignment="1">
      <alignment horizontal="right"/>
    </xf>
    <xf numFmtId="0" fontId="158" fillId="0" borderId="32" xfId="300" applyFont="1" applyBorder="1" applyAlignment="1">
      <alignment horizontal="center"/>
    </xf>
    <xf numFmtId="175" fontId="158" fillId="0" borderId="29" xfId="300" applyNumberFormat="1" applyFont="1" applyBorder="1" applyAlignment="1">
      <alignment horizontal="center"/>
    </xf>
    <xf numFmtId="175" fontId="158" fillId="0" borderId="38" xfId="300" applyNumberFormat="1" applyFont="1" applyBorder="1" applyAlignment="1">
      <alignment horizontal="center"/>
    </xf>
    <xf numFmtId="0" fontId="46" fillId="0" borderId="35" xfId="300" applyFont="1" applyBorder="1" applyAlignment="1">
      <alignment horizontal="center"/>
    </xf>
    <xf numFmtId="0" fontId="46" fillId="0" borderId="34" xfId="300" applyFont="1" applyBorder="1"/>
    <xf numFmtId="0" fontId="53" fillId="0" borderId="34" xfId="300" applyFont="1" applyBorder="1" applyAlignment="1">
      <alignment horizontal="left"/>
    </xf>
    <xf numFmtId="0" fontId="46" fillId="0" borderId="34" xfId="300" applyFont="1" applyBorder="1" applyAlignment="1">
      <alignment horizontal="center" wrapText="1"/>
    </xf>
    <xf numFmtId="175" fontId="46" fillId="21" borderId="31" xfId="172" applyNumberFormat="1" applyFont="1" applyFill="1" applyBorder="1" applyAlignment="1">
      <alignment horizontal="right"/>
    </xf>
    <xf numFmtId="0" fontId="61" fillId="0" borderId="0" xfId="312" applyFont="1"/>
    <xf numFmtId="0" fontId="11" fillId="65" borderId="0" xfId="312" applyFont="1" applyFill="1" applyAlignment="1">
      <alignment wrapText="1"/>
    </xf>
    <xf numFmtId="174" fontId="62" fillId="65" borderId="0" xfId="0" applyFont="1" applyFill="1"/>
    <xf numFmtId="0" fontId="62" fillId="65" borderId="0" xfId="312" applyFont="1" applyFill="1" applyProtection="1">
      <protection locked="0"/>
    </xf>
    <xf numFmtId="1" fontId="46" fillId="65" borderId="0" xfId="154" applyNumberFormat="1" applyFont="1" applyFill="1" applyBorder="1" applyAlignment="1">
      <alignment horizontal="center"/>
    </xf>
    <xf numFmtId="0" fontId="4" fillId="65" borderId="0" xfId="154" applyNumberFormat="1" applyFont="1" applyFill="1" applyBorder="1" applyAlignment="1">
      <alignment horizontal="center"/>
    </xf>
    <xf numFmtId="49" fontId="45" fillId="66" borderId="3" xfId="154" applyNumberFormat="1" applyFont="1" applyFill="1" applyBorder="1" applyAlignment="1">
      <alignment horizontal="center"/>
    </xf>
    <xf numFmtId="0" fontId="11" fillId="65" borderId="0" xfId="172" applyNumberFormat="1" applyFont="1" applyFill="1" applyAlignment="1">
      <alignment horizontal="center"/>
    </xf>
    <xf numFmtId="0" fontId="165" fillId="65" borderId="0" xfId="309" applyFont="1" applyFill="1" applyAlignment="1">
      <alignment horizontal="left" vertical="center"/>
    </xf>
    <xf numFmtId="49" fontId="11" fillId="65" borderId="0" xfId="525" applyNumberFormat="1" applyFont="1" applyFill="1"/>
    <xf numFmtId="1" fontId="44" fillId="0" borderId="3" xfId="154" applyNumberFormat="1" applyFont="1" applyFill="1" applyBorder="1" applyAlignment="1">
      <alignment horizontal="center" wrapText="1"/>
    </xf>
    <xf numFmtId="174" fontId="44" fillId="65" borderId="27" xfId="305" applyFont="1" applyFill="1" applyBorder="1"/>
    <xf numFmtId="174" fontId="0" fillId="66" borderId="0" xfId="0" applyFill="1"/>
    <xf numFmtId="175" fontId="44" fillId="66" borderId="0" xfId="154" applyNumberFormat="1" applyFont="1" applyFill="1" applyBorder="1" applyAlignment="1">
      <alignment wrapText="1"/>
    </xf>
    <xf numFmtId="174" fontId="44" fillId="0" borderId="31" xfId="305" applyFont="1" applyBorder="1"/>
    <xf numFmtId="49" fontId="44" fillId="0" borderId="31" xfId="305" applyNumberFormat="1" applyFont="1" applyBorder="1"/>
    <xf numFmtId="3" fontId="168" fillId="0" borderId="0" xfId="164" applyNumberFormat="1" applyFont="1" applyFill="1" applyBorder="1"/>
    <xf numFmtId="41" fontId="11" fillId="0" borderId="0" xfId="164" applyFont="1" applyFill="1" applyBorder="1"/>
    <xf numFmtId="175" fontId="0" fillId="0" borderId="0" xfId="154" applyNumberFormat="1" applyFont="1" applyFill="1" applyBorder="1" applyAlignment="1">
      <alignment horizontal="center"/>
    </xf>
    <xf numFmtId="175" fontId="11" fillId="0" borderId="0" xfId="154" applyNumberFormat="1" applyFont="1" applyFill="1" applyBorder="1" applyAlignment="1">
      <alignment horizontal="left"/>
    </xf>
    <xf numFmtId="0" fontId="145" fillId="0" borderId="0" xfId="524" applyFont="1" applyAlignment="1">
      <alignment horizontal="center"/>
    </xf>
    <xf numFmtId="174" fontId="29" fillId="0" borderId="0" xfId="0" applyFont="1" applyAlignment="1">
      <alignment horizontal="center"/>
    </xf>
    <xf numFmtId="175" fontId="164" fillId="0" borderId="0" xfId="154" applyNumberFormat="1" applyFont="1" applyFill="1" applyBorder="1" applyAlignment="1">
      <alignment horizontal="center"/>
    </xf>
    <xf numFmtId="174" fontId="11" fillId="0" borderId="0" xfId="0" applyFont="1" applyAlignment="1">
      <alignment horizontal="center" wrapText="1"/>
    </xf>
    <xf numFmtId="175" fontId="11" fillId="0" borderId="0" xfId="154" applyNumberFormat="1" applyFont="1" applyFill="1" applyBorder="1" applyAlignment="1">
      <alignment horizontal="center"/>
    </xf>
    <xf numFmtId="174" fontId="6" fillId="0" borderId="0" xfId="0" applyFont="1" applyAlignment="1">
      <alignment wrapText="1"/>
    </xf>
    <xf numFmtId="174" fontId="6" fillId="0" borderId="0" xfId="0" applyFont="1"/>
    <xf numFmtId="174" fontId="165" fillId="0" borderId="0" xfId="0" applyFont="1" applyAlignment="1">
      <alignment wrapText="1"/>
    </xf>
    <xf numFmtId="164" fontId="11" fillId="0" borderId="0" xfId="331" applyNumberFormat="1" applyFont="1" applyFill="1" applyBorder="1"/>
    <xf numFmtId="3" fontId="11" fillId="0" borderId="0" xfId="526" applyNumberFormat="1" applyFont="1" applyFill="1" applyBorder="1" applyAlignment="1">
      <alignment horizontal="center"/>
    </xf>
    <xf numFmtId="3" fontId="11" fillId="0" borderId="0" xfId="164" applyNumberFormat="1" applyFont="1" applyFill="1" applyBorder="1" applyAlignment="1">
      <alignment horizontal="center"/>
    </xf>
    <xf numFmtId="3" fontId="164" fillId="0" borderId="0" xfId="164" applyNumberFormat="1" applyFont="1" applyFill="1" applyBorder="1"/>
    <xf numFmtId="3" fontId="164" fillId="0" borderId="0" xfId="0" applyNumberFormat="1" applyFont="1"/>
    <xf numFmtId="174" fontId="166" fillId="0" borderId="0" xfId="0" applyFont="1" applyAlignment="1">
      <alignment wrapText="1"/>
    </xf>
    <xf numFmtId="174" fontId="167" fillId="0" borderId="0" xfId="0" applyFont="1" applyAlignment="1">
      <alignment wrapText="1"/>
    </xf>
    <xf numFmtId="174" fontId="11" fillId="0" borderId="0" xfId="0" applyFont="1" applyAlignment="1">
      <alignment wrapText="1"/>
    </xf>
    <xf numFmtId="174" fontId="166" fillId="0" borderId="0" xfId="0" applyFont="1" applyAlignment="1">
      <alignment horizontal="left" wrapText="1"/>
    </xf>
    <xf numFmtId="171" fontId="11" fillId="0" borderId="0" xfId="331" applyNumberFormat="1" applyFont="1" applyFill="1" applyBorder="1"/>
    <xf numFmtId="175" fontId="169" fillId="0" borderId="0" xfId="154" applyNumberFormat="1" applyFont="1" applyFill="1" applyBorder="1" applyAlignment="1">
      <alignment horizontal="center"/>
    </xf>
    <xf numFmtId="174" fontId="0" fillId="65" borderId="0" xfId="0" applyFill="1"/>
    <xf numFmtId="175" fontId="46" fillId="0" borderId="0" xfId="154" applyNumberFormat="1" applyFont="1" applyFill="1" applyBorder="1" applyAlignment="1">
      <alignment horizontal="center"/>
    </xf>
    <xf numFmtId="174" fontId="44" fillId="0" borderId="0" xfId="0" applyFont="1" applyAlignment="1">
      <alignment wrapText="1"/>
    </xf>
    <xf numFmtId="174" fontId="44" fillId="65" borderId="0" xfId="154" applyNumberFormat="1" applyFont="1" applyFill="1"/>
    <xf numFmtId="49" fontId="44" fillId="65" borderId="0" xfId="154" applyNumberFormat="1" applyFont="1" applyFill="1"/>
    <xf numFmtId="174" fontId="44" fillId="64" borderId="46" xfId="305" applyFont="1" applyFill="1" applyBorder="1"/>
    <xf numFmtId="174" fontId="170" fillId="0" borderId="0" xfId="0" applyFont="1" applyAlignment="1">
      <alignment horizontal="center"/>
    </xf>
    <xf numFmtId="0" fontId="170" fillId="0" borderId="0" xfId="312" applyFont="1"/>
    <xf numFmtId="0" fontId="6" fillId="0" borderId="0" xfId="312" quotePrefix="1" applyFont="1" applyAlignment="1" applyProtection="1">
      <alignment horizontal="left"/>
      <protection locked="0"/>
    </xf>
    <xf numFmtId="0" fontId="6" fillId="0" borderId="0" xfId="312" quotePrefix="1" applyFont="1" applyAlignment="1" applyProtection="1">
      <alignment horizontal="center"/>
      <protection locked="0"/>
    </xf>
    <xf numFmtId="0" fontId="6" fillId="0" borderId="0" xfId="312" applyFont="1" applyProtection="1">
      <protection locked="0"/>
    </xf>
    <xf numFmtId="174" fontId="170" fillId="0" borderId="0" xfId="0" applyFont="1"/>
    <xf numFmtId="0" fontId="6" fillId="0" borderId="0" xfId="300" applyFont="1"/>
    <xf numFmtId="175" fontId="11" fillId="65" borderId="0" xfId="154" applyNumberFormat="1" applyFont="1" applyFill="1" applyAlignment="1"/>
    <xf numFmtId="0" fontId="6" fillId="0" borderId="0" xfId="312" applyFont="1" applyAlignment="1" applyProtection="1">
      <alignment horizontal="center"/>
      <protection locked="0"/>
    </xf>
    <xf numFmtId="0" fontId="11" fillId="0" borderId="0" xfId="312" applyFont="1" applyAlignment="1">
      <alignment horizontal="right"/>
    </xf>
    <xf numFmtId="3" fontId="11" fillId="0" borderId="0" xfId="312" applyNumberFormat="1" applyFont="1" applyAlignment="1">
      <alignment horizontal="center"/>
    </xf>
    <xf numFmtId="174" fontId="62" fillId="0" borderId="0" xfId="0" applyFont="1" applyAlignment="1">
      <alignment horizontal="left" wrapText="1"/>
    </xf>
    <xf numFmtId="0" fontId="62" fillId="0" borderId="0" xfId="312" applyFont="1" applyAlignment="1" applyProtection="1">
      <alignment horizontal="left"/>
      <protection locked="0"/>
    </xf>
    <xf numFmtId="174" fontId="62" fillId="0" borderId="0" xfId="0" applyFont="1" applyAlignment="1">
      <alignment horizontal="left" vertical="center" wrapText="1"/>
    </xf>
    <xf numFmtId="0" fontId="62" fillId="0" borderId="0" xfId="312" applyFont="1" applyAlignment="1">
      <alignment horizontal="left" wrapText="1"/>
    </xf>
    <xf numFmtId="0" fontId="11" fillId="0" borderId="0" xfId="312" applyFont="1" applyAlignment="1" applyProtection="1">
      <alignment horizontal="center"/>
      <protection locked="0"/>
    </xf>
    <xf numFmtId="174" fontId="150" fillId="0" borderId="0" xfId="0" applyFont="1" applyAlignment="1">
      <alignment horizontal="center"/>
    </xf>
    <xf numFmtId="0" fontId="45" fillId="0" borderId="0" xfId="300" applyFont="1" applyAlignment="1">
      <alignment horizontal="center"/>
    </xf>
    <xf numFmtId="174" fontId="46" fillId="0" borderId="0" xfId="0" applyFont="1" applyAlignment="1">
      <alignment horizontal="left" wrapText="1"/>
    </xf>
    <xf numFmtId="0" fontId="46" fillId="0" borderId="0" xfId="300" applyFont="1" applyAlignment="1">
      <alignment horizontal="left" wrapText="1"/>
    </xf>
    <xf numFmtId="0" fontId="50" fillId="0" borderId="0" xfId="300" applyFont="1" applyAlignment="1">
      <alignment horizontal="center" wrapText="1"/>
    </xf>
    <xf numFmtId="0" fontId="4" fillId="0" borderId="0" xfId="300" applyAlignment="1">
      <alignment horizontal="center" wrapText="1"/>
    </xf>
    <xf numFmtId="0" fontId="153" fillId="0" borderId="35" xfId="300" applyFont="1" applyBorder="1" applyAlignment="1">
      <alignment horizontal="center"/>
    </xf>
    <xf numFmtId="0" fontId="153" fillId="0" borderId="34" xfId="300" applyFont="1" applyBorder="1" applyAlignment="1">
      <alignment horizontal="center"/>
    </xf>
    <xf numFmtId="0" fontId="153" fillId="0" borderId="36" xfId="300" applyFont="1" applyBorder="1" applyAlignment="1">
      <alignment horizontal="center"/>
    </xf>
    <xf numFmtId="0" fontId="29" fillId="0" borderId="34" xfId="300" applyFont="1" applyBorder="1" applyAlignment="1">
      <alignment horizontal="center" wrapText="1"/>
    </xf>
    <xf numFmtId="0" fontId="29" fillId="0" borderId="36" xfId="300" applyFont="1" applyBorder="1" applyAlignment="1">
      <alignment horizontal="center" wrapText="1"/>
    </xf>
    <xf numFmtId="175" fontId="55" fillId="0" borderId="13" xfId="300" applyNumberFormat="1" applyFont="1" applyBorder="1" applyAlignment="1">
      <alignment horizontal="center" wrapText="1"/>
    </xf>
    <xf numFmtId="175" fontId="55" fillId="0" borderId="32" xfId="300" applyNumberFormat="1" applyFont="1" applyBorder="1" applyAlignment="1">
      <alignment horizontal="center" wrapText="1"/>
    </xf>
    <xf numFmtId="0" fontId="49" fillId="0" borderId="35" xfId="300" applyFont="1" applyBorder="1" applyAlignment="1">
      <alignment horizontal="center"/>
    </xf>
    <xf numFmtId="0" fontId="49" fillId="0" borderId="34" xfId="300" applyFont="1" applyBorder="1" applyAlignment="1">
      <alignment horizontal="center"/>
    </xf>
    <xf numFmtId="0" fontId="4" fillId="0" borderId="0" xfId="300" applyAlignment="1">
      <alignment horizontal="left" wrapText="1"/>
    </xf>
    <xf numFmtId="0" fontId="4" fillId="0" borderId="29" xfId="300" applyBorder="1" applyAlignment="1">
      <alignment horizontal="left" wrapText="1"/>
    </xf>
    <xf numFmtId="0" fontId="4" fillId="0" borderId="0" xfId="300" applyAlignment="1">
      <alignment horizontal="left"/>
    </xf>
    <xf numFmtId="0" fontId="4" fillId="0" borderId="29" xfId="300" applyBorder="1" applyAlignment="1">
      <alignment horizontal="left"/>
    </xf>
    <xf numFmtId="0" fontId="4" fillId="0" borderId="13" xfId="300" applyBorder="1" applyAlignment="1">
      <alignment horizontal="left"/>
    </xf>
    <xf numFmtId="0" fontId="4" fillId="0" borderId="32" xfId="300" applyBorder="1" applyAlignment="1">
      <alignment horizontal="left"/>
    </xf>
    <xf numFmtId="0" fontId="29" fillId="0" borderId="0" xfId="300" applyFont="1" applyAlignment="1">
      <alignment horizontal="center" wrapText="1"/>
    </xf>
    <xf numFmtId="0" fontId="4" fillId="0" borderId="29" xfId="300" applyBorder="1" applyAlignment="1">
      <alignment horizontal="center" wrapText="1"/>
    </xf>
    <xf numFmtId="0" fontId="4" fillId="0" borderId="34" xfId="300" applyBorder="1" applyAlignment="1">
      <alignment horizontal="center" wrapText="1"/>
    </xf>
    <xf numFmtId="0" fontId="4" fillId="0" borderId="36" xfId="300" applyBorder="1" applyAlignment="1">
      <alignment horizontal="center" wrapText="1"/>
    </xf>
    <xf numFmtId="0" fontId="49" fillId="0" borderId="36" xfId="300" applyFont="1" applyBorder="1" applyAlignment="1">
      <alignment horizontal="center"/>
    </xf>
    <xf numFmtId="0" fontId="29" fillId="56" borderId="34" xfId="300" applyFont="1" applyFill="1" applyBorder="1" applyAlignment="1">
      <alignment horizontal="right" wrapText="1"/>
    </xf>
    <xf numFmtId="0" fontId="29" fillId="56" borderId="36" xfId="300" applyFont="1" applyFill="1" applyBorder="1" applyAlignment="1">
      <alignment horizontal="right" wrapText="1"/>
    </xf>
    <xf numFmtId="0" fontId="4" fillId="0" borderId="13" xfId="300" applyBorder="1" applyAlignment="1">
      <alignment horizontal="center" wrapText="1"/>
    </xf>
    <xf numFmtId="0" fontId="4" fillId="0" borderId="32" xfId="300" applyBorder="1" applyAlignment="1">
      <alignment horizontal="center" wrapText="1"/>
    </xf>
    <xf numFmtId="0" fontId="6" fillId="0" borderId="0" xfId="300" applyFont="1" applyAlignment="1">
      <alignment horizontal="center"/>
    </xf>
    <xf numFmtId="0" fontId="3" fillId="0" borderId="0" xfId="300" applyFont="1" applyAlignment="1">
      <alignment horizontal="center"/>
    </xf>
    <xf numFmtId="0" fontId="49" fillId="63" borderId="39" xfId="300" applyFont="1" applyFill="1" applyBorder="1" applyAlignment="1">
      <alignment horizontal="center"/>
    </xf>
    <xf numFmtId="0" fontId="49" fillId="63" borderId="12" xfId="300" applyFont="1" applyFill="1" applyBorder="1" applyAlignment="1">
      <alignment horizontal="center"/>
    </xf>
    <xf numFmtId="0" fontId="49" fillId="56" borderId="39" xfId="300" applyFont="1" applyFill="1" applyBorder="1" applyAlignment="1">
      <alignment horizontal="center"/>
    </xf>
    <xf numFmtId="0" fontId="49" fillId="56" borderId="12" xfId="300" applyFont="1" applyFill="1" applyBorder="1" applyAlignment="1">
      <alignment horizontal="center"/>
    </xf>
    <xf numFmtId="0" fontId="49" fillId="56" borderId="12" xfId="300" applyFont="1" applyFill="1" applyBorder="1" applyAlignment="1">
      <alignment horizontal="center" wrapText="1"/>
    </xf>
    <xf numFmtId="0" fontId="4" fillId="56" borderId="12" xfId="300" applyFill="1" applyBorder="1" applyAlignment="1">
      <alignment horizontal="center" wrapText="1"/>
    </xf>
    <xf numFmtId="0" fontId="4" fillId="56" borderId="62" xfId="300" applyFill="1" applyBorder="1" applyAlignment="1">
      <alignment horizontal="center" wrapText="1"/>
    </xf>
    <xf numFmtId="49" fontId="160" fillId="0" borderId="0" xfId="309" applyNumberFormat="1" applyFont="1" applyAlignment="1">
      <alignment horizontal="left" vertical="top" wrapText="1"/>
    </xf>
    <xf numFmtId="49" fontId="161" fillId="0" borderId="0" xfId="309" applyNumberFormat="1" applyFont="1" applyAlignment="1">
      <alignment horizontal="left" vertical="top" wrapText="1"/>
    </xf>
    <xf numFmtId="0" fontId="29" fillId="63" borderId="12" xfId="300" applyFont="1" applyFill="1" applyBorder="1" applyAlignment="1">
      <alignment horizontal="center"/>
    </xf>
    <xf numFmtId="0" fontId="47" fillId="56" borderId="0" xfId="300" applyFont="1" applyFill="1" applyAlignment="1">
      <alignment horizontal="left"/>
    </xf>
    <xf numFmtId="175" fontId="47" fillId="56" borderId="0" xfId="154" applyNumberFormat="1" applyFont="1" applyFill="1" applyBorder="1" applyAlignment="1">
      <alignment horizontal="center" wrapText="1"/>
    </xf>
    <xf numFmtId="175" fontId="64" fillId="56" borderId="0" xfId="154" applyNumberFormat="1" applyFont="1" applyFill="1" applyBorder="1" applyAlignment="1">
      <alignment horizontal="center" wrapText="1"/>
    </xf>
    <xf numFmtId="174" fontId="11" fillId="0" borderId="0" xfId="0" applyFont="1" applyAlignment="1">
      <alignment horizontal="left"/>
    </xf>
    <xf numFmtId="0" fontId="62" fillId="0" borderId="0" xfId="298" applyFont="1" applyAlignment="1">
      <alignment horizontal="center"/>
    </xf>
    <xf numFmtId="0" fontId="58" fillId="0" borderId="0" xfId="298" applyFont="1" applyAlignment="1">
      <alignment horizontal="center"/>
    </xf>
    <xf numFmtId="0" fontId="58" fillId="0" borderId="0" xfId="298" applyFont="1"/>
    <xf numFmtId="0" fontId="62" fillId="0" borderId="0" xfId="298" applyFont="1" applyAlignment="1">
      <alignment wrapText="1"/>
    </xf>
    <xf numFmtId="0" fontId="6" fillId="0" borderId="0" xfId="298" applyFont="1" applyAlignment="1">
      <alignment horizontal="center"/>
    </xf>
    <xf numFmtId="0" fontId="45" fillId="0" borderId="0" xfId="298" applyFont="1" applyAlignment="1">
      <alignment horizontal="center"/>
    </xf>
    <xf numFmtId="0" fontId="45" fillId="0" borderId="0" xfId="298" applyFont="1"/>
    <xf numFmtId="0" fontId="46" fillId="0" borderId="0" xfId="298" applyFont="1" applyAlignment="1">
      <alignment wrapText="1"/>
    </xf>
    <xf numFmtId="0" fontId="46" fillId="0" borderId="0" xfId="298" applyFont="1" applyAlignment="1">
      <alignment horizontal="center"/>
    </xf>
    <xf numFmtId="49" fontId="6" fillId="0" borderId="0" xfId="298" applyNumberFormat="1" applyFont="1" applyAlignment="1">
      <alignment horizontal="center"/>
    </xf>
    <xf numFmtId="0" fontId="6" fillId="0" borderId="0" xfId="298" applyFont="1"/>
    <xf numFmtId="174" fontId="6" fillId="0" borderId="0" xfId="0" applyFont="1" applyAlignment="1">
      <alignment horizontal="center"/>
    </xf>
    <xf numFmtId="0" fontId="6" fillId="0" borderId="0" xfId="525" applyFont="1" applyAlignment="1">
      <alignment horizontal="center"/>
    </xf>
    <xf numFmtId="0" fontId="6" fillId="0" borderId="0" xfId="524" applyFont="1" applyAlignment="1">
      <alignment horizontal="center"/>
    </xf>
    <xf numFmtId="0" fontId="171" fillId="0" borderId="63" xfId="309" applyFont="1" applyBorder="1" applyAlignment="1">
      <alignment horizontal="center" vertical="center"/>
    </xf>
    <xf numFmtId="0" fontId="171" fillId="0" borderId="8" xfId="309" applyFont="1" applyBorder="1" applyAlignment="1">
      <alignment horizontal="center" vertical="center"/>
    </xf>
    <xf numFmtId="0" fontId="171" fillId="0" borderId="67" xfId="309" applyFont="1" applyBorder="1" applyAlignment="1">
      <alignment horizontal="center" vertical="center"/>
    </xf>
    <xf numFmtId="0" fontId="171" fillId="0" borderId="63" xfId="309" applyFont="1" applyBorder="1" applyAlignment="1">
      <alignment horizontal="center" vertical="center" wrapText="1"/>
    </xf>
    <xf numFmtId="0" fontId="171" fillId="0" borderId="8" xfId="309" applyFont="1" applyBorder="1" applyAlignment="1">
      <alignment horizontal="center" vertical="center" wrapText="1"/>
    </xf>
    <xf numFmtId="0" fontId="171" fillId="0" borderId="67" xfId="309" applyFont="1" applyBorder="1" applyAlignment="1">
      <alignment horizontal="center" vertical="center" wrapText="1"/>
    </xf>
    <xf numFmtId="0" fontId="167" fillId="0" borderId="63" xfId="309" applyFont="1" applyBorder="1" applyAlignment="1">
      <alignment horizontal="center" vertical="center"/>
    </xf>
    <xf numFmtId="0" fontId="167" fillId="0" borderId="8" xfId="309" applyFont="1" applyBorder="1" applyAlignment="1">
      <alignment horizontal="center" vertical="center"/>
    </xf>
    <xf numFmtId="0" fontId="167" fillId="0" borderId="67" xfId="309" applyFont="1" applyBorder="1" applyAlignment="1">
      <alignment horizontal="center" vertical="center"/>
    </xf>
    <xf numFmtId="174" fontId="6" fillId="0" borderId="0" xfId="0" applyFont="1" applyAlignment="1" applyProtection="1">
      <alignment horizontal="center"/>
      <protection locked="0"/>
    </xf>
    <xf numFmtId="1" fontId="46" fillId="0" borderId="0" xfId="154" applyNumberFormat="1" applyFont="1" applyFill="1" applyAlignment="1" applyProtection="1">
      <alignment horizontal="left"/>
      <protection locked="0"/>
    </xf>
    <xf numFmtId="174" fontId="170" fillId="0" borderId="0" xfId="0" applyFont="1" applyAlignment="1">
      <alignment horizontal="center"/>
    </xf>
    <xf numFmtId="0" fontId="6" fillId="65" borderId="0" xfId="0" applyNumberFormat="1" applyFont="1" applyFill="1" applyAlignment="1">
      <alignment horizontal="center"/>
    </xf>
    <xf numFmtId="0" fontId="6" fillId="0" borderId="0" xfId="0" applyNumberFormat="1" applyFont="1" applyAlignment="1">
      <alignment horizontal="center"/>
    </xf>
    <xf numFmtId="0" fontId="44" fillId="0" borderId="63" xfId="309" applyFont="1" applyBorder="1" applyAlignment="1">
      <alignment horizontal="center" wrapText="1"/>
    </xf>
    <xf numFmtId="0" fontId="44" fillId="0" borderId="56" xfId="309" applyFont="1" applyBorder="1" applyAlignment="1">
      <alignment horizontal="center" wrapText="1"/>
    </xf>
    <xf numFmtId="0" fontId="44" fillId="0" borderId="55" xfId="309" applyFont="1" applyBorder="1" applyAlignment="1">
      <alignment horizontal="center" wrapText="1"/>
    </xf>
    <xf numFmtId="0" fontId="44" fillId="0" borderId="5" xfId="309" applyFont="1" applyBorder="1" applyAlignment="1">
      <alignment horizontal="left" wrapText="1"/>
    </xf>
    <xf numFmtId="0" fontId="44" fillId="0" borderId="3" xfId="309" applyFont="1" applyBorder="1" applyAlignment="1">
      <alignment horizontal="left" wrapText="1"/>
    </xf>
    <xf numFmtId="0" fontId="44" fillId="0" borderId="52" xfId="309" applyFont="1" applyBorder="1" applyAlignment="1">
      <alignment horizontal="center" wrapText="1"/>
    </xf>
    <xf numFmtId="0" fontId="44" fillId="0" borderId="53" xfId="309" applyFont="1" applyBorder="1" applyAlignment="1">
      <alignment horizontal="center" wrapText="1"/>
    </xf>
    <xf numFmtId="174" fontId="45" fillId="0" borderId="0" xfId="0" applyFont="1" applyAlignment="1">
      <alignment horizontal="center"/>
    </xf>
    <xf numFmtId="174" fontId="44" fillId="0" borderId="0" xfId="0" applyFont="1" applyAlignment="1">
      <alignment horizontal="center"/>
    </xf>
    <xf numFmtId="174" fontId="48" fillId="0" borderId="0" xfId="0" applyFont="1" applyAlignment="1">
      <alignment horizontal="center"/>
    </xf>
  </cellXfs>
  <cellStyles count="529">
    <cellStyle name="$" xfId="1" xr:uid="{BF97F878-4DD8-4857-B411-F3934CF0A450}"/>
    <cellStyle name="$_DCF Shell 2" xfId="2" xr:uid="{F0F904B3-2301-40C6-B771-3820B996F541}"/>
    <cellStyle name="$_Model_Sep_2_02" xfId="3" xr:uid="{8E9A6931-347A-48C6-B8F8-4A238D5334F5}"/>
    <cellStyle name="$_Pipeline Model v1 (09_09_02) v3" xfId="4" xr:uid="{A8150860-8D07-45FA-83B2-2AC344A3B103}"/>
    <cellStyle name="%" xfId="5" xr:uid="{DFE0EBE4-C274-47BF-BAC6-3EC9204A3988}"/>
    <cellStyle name="?? [0]_VERA" xfId="6" xr:uid="{D477548E-712E-496F-AB6B-C7D381C36CBD}"/>
    <cellStyle name="?????_VERA" xfId="7" xr:uid="{1DEF31C8-8F58-432E-A95B-13D3C740AB95}"/>
    <cellStyle name="??_VERA" xfId="8" xr:uid="{9CD871AC-68F6-436C-B5F6-5CA2884A571A}"/>
    <cellStyle name="_0decimals" xfId="9" xr:uid="{E09C0B44-C09E-49FD-8EB8-8EAE3C31BD23}"/>
    <cellStyle name="_1 0 2011 BP - Overlays v0 12" xfId="10" xr:uid="{A0824FCF-F104-40AC-8D15-A059EAEAF472}"/>
    <cellStyle name="_1 1 OFTO t2 v0 2 (IBA def tax)" xfId="11" xr:uid="{4EB85FFA-75F5-4705-8112-E218F2708338}"/>
    <cellStyle name="_2.0 Emergency Process" xfId="12" xr:uid="{302355D2-8CF2-4F4C-8259-0FD08D09416C}"/>
    <cellStyle name="_ammonia emission calculation" xfId="13" xr:uid="{6C9C430F-5B5A-472C-ABE8-BD506035EBFB}"/>
    <cellStyle name="_Berr Strading Analysis v 04 (2012 to 2020) v0 8 (no capex from 2012)" xfId="14" xr:uid="{B533C0C3-869A-4E86-BF2B-E60502976F5B}"/>
    <cellStyle name="_Cement" xfId="15" xr:uid="{31720E84-5F49-4DCE-9CDD-8C5CE47A0730}"/>
    <cellStyle name="_Comma" xfId="16" xr:uid="{C206576A-A9C2-4DF3-B9A7-EE76885BC0B7}"/>
    <cellStyle name="_Comma_CSC" xfId="17" xr:uid="{8D8B997B-986C-43C5-9ED6-ADC99BCFAB0E}"/>
    <cellStyle name="_Comma_merger_plans_modified_9_3_1999" xfId="18" xr:uid="{B7CEA96E-51D3-425D-952A-AA61D6892E58}"/>
    <cellStyle name="_Currency" xfId="19" xr:uid="{983D3BE8-02E9-472D-8DA2-140960C30E1E}"/>
    <cellStyle name="_Currency_CSC" xfId="20" xr:uid="{18F76C61-90D6-4327-9933-D142EA22F843}"/>
    <cellStyle name="_Currency_merger_plans_modified_9_3_1999" xfId="21" xr:uid="{F1F5B325-E6F3-4AFD-AC7F-124A877DBE58}"/>
    <cellStyle name="_Currency_Model_Sep_2_02" xfId="22" xr:uid="{3A61CA90-2286-4D39-AAB9-F10CB77912A1}"/>
    <cellStyle name="_Currency_Pipeline Model v1 (09_09_02) v3" xfId="23" xr:uid="{FD19CCDA-AD71-4882-ADF2-495461EA4828}"/>
    <cellStyle name="_CurrencySpace" xfId="24" xr:uid="{D19F8939-7A9C-4D75-AE61-2FB091A54FDE}"/>
    <cellStyle name="_CurrencySpace_CSC" xfId="25" xr:uid="{A7411AF9-01D2-4907-A581-9E81AE3E0C9E}"/>
    <cellStyle name="_CurrencySpace_merger_plans_modified_9_3_1999" xfId="26" xr:uid="{F5D0BDFD-D281-45F8-8553-F23BC48BF5D1}"/>
    <cellStyle name="_Group Impact Model - Output Sheet" xfId="27" xr:uid="{B721377C-F541-42AC-A93E-B5B7688D77DC}"/>
    <cellStyle name="_Multiple" xfId="28" xr:uid="{C077AF9C-DA84-48D9-B4C9-E70C7FA781CF}"/>
    <cellStyle name="_Multiple_CSC" xfId="29" xr:uid="{6EC8C098-919F-44E5-99B4-8B453B069925}"/>
    <cellStyle name="_Multiple_merger_plans_modified_9_3_1999" xfId="30" xr:uid="{0AE4045C-1FBB-46E3-ADF4-681295FB8F85}"/>
    <cellStyle name="_Multiple_Model_Sep_2_02" xfId="31" xr:uid="{9EEAD49F-5D28-48E1-BD05-032FABFFBF2C}"/>
    <cellStyle name="_Multiple_Pipeline Model v1 (09_09_02) v3" xfId="32" xr:uid="{D7201687-C0CE-4ABA-861F-8B0308F466A8}"/>
    <cellStyle name="_MultipleSpace" xfId="33" xr:uid="{9DD291BA-343D-41E6-A737-4CE0D9E2A75E}"/>
    <cellStyle name="_MultipleSpace_CSC" xfId="34" xr:uid="{8804A3AD-D129-44F2-B078-7D28EEEC27E8}"/>
    <cellStyle name="_MultipleSpace_merger_plans_modified_9_3_1999" xfId="35" xr:uid="{27956B3A-062F-4B38-925A-7FC38ABEA271}"/>
    <cellStyle name="_MultipleSpace_Model_Sep_2_02" xfId="36" xr:uid="{FDA2FB74-2ECB-4EC2-8971-50716F491D67}"/>
    <cellStyle name="_MultipleSpace_Pipeline Model v1 (09_09_02) v3" xfId="37" xr:uid="{A2E661BB-DE4E-4EB2-B323-A217D7EA2C6C}"/>
    <cellStyle name="_NGM  Business Valuation Jan 10 v7 no links(sg)" xfId="38" xr:uid="{87EA8ED1-CF7E-40F5-8BCE-7CF20B03524D}"/>
    <cellStyle name="_Oil Sands" xfId="39" xr:uid="{CB3AC109-ABD8-4EA6-A61E-C6EA45F12C5A}"/>
    <cellStyle name="_Payroll - Dave Moon v2" xfId="40" xr:uid="{881B3E13-195E-4E2B-8612-EC8F23EDF62D}"/>
    <cellStyle name="_Percent" xfId="41" xr:uid="{176022CD-E5FD-45A8-94CD-173F2EFAC428}"/>
    <cellStyle name="_Percent_CSC" xfId="42" xr:uid="{33369BEC-6369-4BA9-805A-AD5D2FBC65E0}"/>
    <cellStyle name="_Percent_merger_plans_modified_9_3_1999" xfId="43" xr:uid="{6F9177CB-017C-462C-A57F-20EFA4F8BF6D}"/>
    <cellStyle name="_Percent_Model_Sep_2_02" xfId="44" xr:uid="{A944CE06-75F4-4AD5-BE91-2C0BE9E62FB3}"/>
    <cellStyle name="_Percent_Pipeline Model v1 (09_09_02) v3" xfId="45" xr:uid="{7D7CC4EB-D896-4257-A8D8-2BCEE9A7266B}"/>
    <cellStyle name="_PercentSpace" xfId="46" xr:uid="{92951D95-4C0B-475C-8896-F2C81A11B1B1}"/>
    <cellStyle name="_PercentSpace_CSC" xfId="47" xr:uid="{3B786576-BBC4-440B-8CC8-9D13D55A7FF8}"/>
    <cellStyle name="_PercentSpace_merger_plans_modified_9_3_1999" xfId="48" xr:uid="{7C9D3539-8FF8-435F-BB4C-C345BA7CDA54}"/>
    <cellStyle name="_PercentSpace_Model_Sep_2_02" xfId="49" xr:uid="{12DD1FEB-6A7D-403D-BB82-D7077D701A3B}"/>
    <cellStyle name="_PercentSpace_Pipeline Model v1 (09_09_02) v3" xfId="50" xr:uid="{386A4463-E1BA-4168-BE29-D556202697ED}"/>
    <cellStyle name="_Refineries" xfId="51" xr:uid="{BF630A51-5E09-4E97-B75F-BE4E626CE66F}"/>
    <cellStyle name="_TableRowHead" xfId="52" xr:uid="{5FE0E533-3B3D-49E0-A920-179E8488E823}"/>
    <cellStyle name="_TableSuperHead" xfId="53" xr:uid="{07042174-C971-4DE5-AB93-8470C5B0981C}"/>
    <cellStyle name="£ BP" xfId="54" xr:uid="{8323F71D-7742-4186-86A0-83FA2D711C3A}"/>
    <cellStyle name="£[2]" xfId="55" xr:uid="{4194C315-D163-437A-89C2-4DB0BB6D9D8F}"/>
    <cellStyle name="¥ JY" xfId="56" xr:uid="{E5D20291-F185-498F-851F-6D057D0ED172}"/>
    <cellStyle name="=C:\WINNT\SYSTEM32\COMMAND.COM" xfId="57" xr:uid="{9FB7D712-0F28-479C-9F09-AD6E8665DDA3}"/>
    <cellStyle name="0" xfId="58" xr:uid="{0C21748C-2724-4CA6-A3C2-BD197421BBBD}"/>
    <cellStyle name="0_Credit Rating Ratios" xfId="59" xr:uid="{082DBF31-AC1A-4EEB-BA3A-232BCFAFFDA8}"/>
    <cellStyle name="0_Pension numbers in 09 Plan  Budget (3)" xfId="60" xr:uid="{317D944D-7649-49D3-841B-A25247101511}"/>
    <cellStyle name="0DP" xfId="61" xr:uid="{B354CA5D-7402-4CE1-A47A-5A46E26F806E}"/>
    <cellStyle name="0DP bold" xfId="62" xr:uid="{49FC7EA9-6085-4595-AA6F-C531E5313A77}"/>
    <cellStyle name="0DP_calcSens" xfId="63" xr:uid="{CAC12EE3-4D0C-46EA-9A40-95C7CA3A8F0D}"/>
    <cellStyle name="1DP" xfId="64" xr:uid="{AC211581-2D2F-48C3-A18A-CB3798C9C9FF}"/>
    <cellStyle name="1DP bold" xfId="65" xr:uid="{6CD3D900-5B69-459B-9F42-CFA8FB107699}"/>
    <cellStyle name="2DP" xfId="66" xr:uid="{893BB3DA-7950-4604-8920-E78C824482F1}"/>
    <cellStyle name="2DP bold" xfId="67" xr:uid="{F8DE374D-474C-4A52-A579-F15BC1695525}"/>
    <cellStyle name="3DP" xfId="68" xr:uid="{CA1918B7-79D1-4476-9432-AAFFF623952A}"/>
    <cellStyle name="A3 297 x 420 mm 2" xfId="524" xr:uid="{75EBF44D-6052-4223-BE24-2313CD0466F4}"/>
    <cellStyle name="Accent1 - 20%" xfId="69" xr:uid="{D61B8DF1-03DB-440A-85C8-2573DCB158A8}"/>
    <cellStyle name="Accent1 - 40%" xfId="70" xr:uid="{446895A3-79A7-4738-A464-9B27EFE0C84E}"/>
    <cellStyle name="Accent1 - 60%" xfId="71" xr:uid="{07732087-620B-40BE-B1F7-7EA1599B4989}"/>
    <cellStyle name="Accent2 - 20%" xfId="72" xr:uid="{43C2FC6F-B158-4AA1-B133-ADC0CCC030CB}"/>
    <cellStyle name="Accent2 - 40%" xfId="73" xr:uid="{9FACD35E-1106-4ED1-8E7D-D8D28A445747}"/>
    <cellStyle name="Accent2 - 60%" xfId="74" xr:uid="{65C94BBE-165B-4E9C-8652-5FCAE4F16B57}"/>
    <cellStyle name="Accent3 - 20%" xfId="75" xr:uid="{D13CADE2-0A44-4970-B8FB-3304CEB2749A}"/>
    <cellStyle name="Accent3 - 40%" xfId="76" xr:uid="{89AF0A0B-7253-4B10-9C1E-B3FF13E38C3E}"/>
    <cellStyle name="Accent3 - 60%" xfId="77" xr:uid="{AC78DC12-68C6-4A3E-A209-918F64018E40}"/>
    <cellStyle name="Accent4 - 20%" xfId="78" xr:uid="{B02929A1-831B-4436-8149-01D775DD48A9}"/>
    <cellStyle name="Accent4 - 40%" xfId="79" xr:uid="{8296302B-8333-48F3-82E3-3B053BA612DF}"/>
    <cellStyle name="Accent4 - 60%" xfId="80" xr:uid="{D6FC004B-D48B-464C-B65E-BD5C1334ACF0}"/>
    <cellStyle name="Accent5 - 20%" xfId="81" xr:uid="{645E738C-31CB-4DC2-8B9B-4578540DA298}"/>
    <cellStyle name="Accent5 - 40%" xfId="82" xr:uid="{C96BC2B9-8E1D-4003-8FFE-C1F580C6707D}"/>
    <cellStyle name="Accent5 - 60%" xfId="83" xr:uid="{0CCC0E55-98A8-4FAC-A1BC-6E55909A0D94}"/>
    <cellStyle name="Accent6 - 20%" xfId="84" xr:uid="{3EB756B6-B839-4954-9632-46846C62F6E4}"/>
    <cellStyle name="Accent6 - 40%" xfId="85" xr:uid="{BF90E166-5C54-4591-BCA1-B1E7338876BC}"/>
    <cellStyle name="Accent6 - 60%" xfId="86" xr:uid="{25B87198-7BBD-476B-8C2F-F19E4680D9D3}"/>
    <cellStyle name="Actual Date" xfId="87" xr:uid="{00F9B34F-1DBA-440B-9B5C-4730464859FF}"/>
    <cellStyle name="ÅëÈ­ [0]_±âÅ¸" xfId="88" xr:uid="{0AA288CD-B8D0-4E5F-9C91-F29854D1C492}"/>
    <cellStyle name="ÅëÈ­_±âÅ¸" xfId="89" xr:uid="{5A2887B9-9817-402E-A97A-E6C89D5D1EAD}"/>
    <cellStyle name="AFE" xfId="90" xr:uid="{7261B083-59CB-44D3-BFC2-D91084FCD56E}"/>
    <cellStyle name="ÄÞ¸¶ [0]_±âÅ¸" xfId="91" xr:uid="{A2243716-3955-4060-9A7C-930A974A9BC1}"/>
    <cellStyle name="ÄÞ¸¶_±âÅ¸" xfId="92" xr:uid="{3A7DB7EC-3B8D-4AF8-8696-F137754292AC}"/>
    <cellStyle name="BMDate" xfId="93" xr:uid="{427AE57F-B8D1-47B2-B69E-E18C4AFE7248}"/>
    <cellStyle name="BMHeading" xfId="94" xr:uid="{0C91945D-0B10-40AB-9143-C97472464238}"/>
    <cellStyle name="BMInputNormal" xfId="95" xr:uid="{1FF37185-444A-4F0D-8277-893460885F16}"/>
    <cellStyle name="BMMultiple" xfId="96" xr:uid="{3CD51583-F8D8-45ED-92AE-9E0CBFBB1441}"/>
    <cellStyle name="BMPercent" xfId="97" xr:uid="{5C978EAE-3ED7-4637-B767-4D72CD3A1D58}"/>
    <cellStyle name="Body" xfId="98" xr:uid="{C1AE948C-4B2C-46FA-894C-91283C73E74A}"/>
    <cellStyle name="Bold/Border" xfId="99" xr:uid="{339EB742-6CD9-436B-AD29-3689BF2E6AB1}"/>
    <cellStyle name="BooleanYorN" xfId="100" xr:uid="{3B09298B-1B16-47D5-A248-12E0AFE2245D}"/>
    <cellStyle name="Bullet" xfId="101" xr:uid="{6C31B15C-95EA-4511-BFC0-6A885305A2C9}"/>
    <cellStyle name="c" xfId="102" xr:uid="{D6E0B41B-301C-4600-9210-D126EDB75A2E}"/>
    <cellStyle name="c_Bal Sheets" xfId="103" xr:uid="{E91B216A-0F28-4775-B876-41409A5FAEB9}"/>
    <cellStyle name="c_Credit (2)" xfId="104" xr:uid="{F7C1D7F9-7B3F-4F24-94C5-6DD2AF6C51F8}"/>
    <cellStyle name="c_Earnings" xfId="105" xr:uid="{0ACCD75C-3549-4339-99BF-107B1C7C77A9}"/>
    <cellStyle name="c_Earnings (2)" xfId="106" xr:uid="{729932E4-222E-4D0B-A68D-F6FD2B73F773}"/>
    <cellStyle name="c_finsumm" xfId="107" xr:uid="{75DE5423-C8BA-4817-8263-12913AAD70FA}"/>
    <cellStyle name="c_GoroWipTax-to2050_fromCo_Oct21_99" xfId="108" xr:uid="{CCEC2C0D-EE2E-4E14-AA71-6A40628EE673}"/>
    <cellStyle name="c_HardInc " xfId="109" xr:uid="{A8D632A5-9621-4D92-9EB1-54D5674F417C}"/>
    <cellStyle name="c_Hist Inputs (2)" xfId="110" xr:uid="{3D1F1431-8FB4-4144-A47A-F2DD2B26537D}"/>
    <cellStyle name="c_IEL_finsumm" xfId="111" xr:uid="{2D65BBA3-D5CC-4499-96E9-3A95B53363A3}"/>
    <cellStyle name="c_IEL_finsumm1" xfId="112" xr:uid="{0DD15D89-00E0-469B-BB75-3CF744A60D19}"/>
    <cellStyle name="c_LBO Summary" xfId="113" xr:uid="{A533DA38-F69C-4669-ABED-D1C9A80E4106}"/>
    <cellStyle name="c_Schedules" xfId="114" xr:uid="{DDD57FBB-E521-4585-A281-F02955F9BA24}"/>
    <cellStyle name="c_Trans Assump (2)" xfId="115" xr:uid="{27DC7BE0-0161-4AA9-A407-768C8EF30977}"/>
    <cellStyle name="c_Unit Price Sen. (2)" xfId="116" xr:uid="{7F3C4604-0132-41EE-AB58-3149D7824F8F}"/>
    <cellStyle name="Ç¥ÁØ_¿ù°£¿ä¾àº¸°í" xfId="117" xr:uid="{014A766B-32F6-4EEF-AEA7-1D12997E66E3}"/>
    <cellStyle name="C00A" xfId="118" xr:uid="{6BF5150A-AD08-4F52-9298-F64789BF5046}"/>
    <cellStyle name="C00B" xfId="119" xr:uid="{2A1F6964-3D0B-4BB2-A893-859FDA854064}"/>
    <cellStyle name="C00L" xfId="120" xr:uid="{F0F1B2B0-F93A-4140-88FA-0FDCFBDC823D}"/>
    <cellStyle name="C01A" xfId="121" xr:uid="{2605C893-5D74-4E0C-9B92-9F3A0F9AA400}"/>
    <cellStyle name="C01B" xfId="122" xr:uid="{82DC7F2D-9DB5-4F73-9025-74999CC99443}"/>
    <cellStyle name="C01H" xfId="123" xr:uid="{5ABB54F8-2AA5-44F6-95E8-42766FEB3D61}"/>
    <cellStyle name="C01L" xfId="124" xr:uid="{3641DF70-F4FC-436F-8CAA-264ADE0DE93B}"/>
    <cellStyle name="C02A" xfId="125" xr:uid="{1C879B61-680A-40F1-95B9-C52187E04780}"/>
    <cellStyle name="C02B" xfId="126" xr:uid="{6E11D634-EC6D-4DEF-B0FD-7C6A4FB69C82}"/>
    <cellStyle name="C02H" xfId="127" xr:uid="{5712A892-AF80-45AE-A7EA-12EBA4AA10BE}"/>
    <cellStyle name="C02L" xfId="128" xr:uid="{B22C3713-BD57-4AAD-952F-50F1C8F6BD00}"/>
    <cellStyle name="C03A" xfId="129" xr:uid="{2ACEFB6F-3BF5-4B0D-8631-8C31B4A2B3F6}"/>
    <cellStyle name="C03B" xfId="130" xr:uid="{95E03867-2F1B-4D67-B281-4CA89B1CA051}"/>
    <cellStyle name="C03H" xfId="131" xr:uid="{8750B80A-D008-446C-8983-5B177538FA2C}"/>
    <cellStyle name="C03L" xfId="132" xr:uid="{1BB7FD29-6B52-4A61-843E-4657E304859C}"/>
    <cellStyle name="C04A" xfId="133" xr:uid="{E6C09F19-BE72-4BAC-9FC0-8486ECB8D430}"/>
    <cellStyle name="C04B" xfId="134" xr:uid="{0CEA7DD5-4ECA-4835-B695-D0AE4B1C9B57}"/>
    <cellStyle name="C04H" xfId="135" xr:uid="{54252EAC-47E8-4F4C-A71D-9F62CFD7BA63}"/>
    <cellStyle name="C04L" xfId="136" xr:uid="{9018DA18-0EA0-4EA4-9B59-CA15333651E3}"/>
    <cellStyle name="C05A" xfId="137" xr:uid="{3331B893-5F80-4C72-83F6-55295906E8EB}"/>
    <cellStyle name="C05B" xfId="138" xr:uid="{6ECB4E4F-CD16-404A-BC06-C3D4B34EB1A0}"/>
    <cellStyle name="C05H" xfId="139" xr:uid="{0F8FFEE2-BAED-4D8B-B944-3AB14868FC06}"/>
    <cellStyle name="C05L" xfId="140" xr:uid="{72A97725-2992-462A-B347-014042C95DD9}"/>
    <cellStyle name="C06A" xfId="141" xr:uid="{1C1C11B7-372C-4007-9F99-994448B8D9FC}"/>
    <cellStyle name="C06B" xfId="142" xr:uid="{6DC9C68B-67FA-4B0A-BB51-C74CACB30AE1}"/>
    <cellStyle name="C06H" xfId="143" xr:uid="{5FBA64DC-CE29-45AB-99D7-16DE6EA3BC3C}"/>
    <cellStyle name="C06L" xfId="144" xr:uid="{35165894-83B3-48C6-AAC0-EA2A037604AD}"/>
    <cellStyle name="C07A" xfId="145" xr:uid="{2EDC3593-E0EA-4446-BBEE-FC97919CDBCB}"/>
    <cellStyle name="C07B" xfId="146" xr:uid="{321F747D-ADE1-40DD-BDD3-98A09F9EDB73}"/>
    <cellStyle name="C07H" xfId="147" xr:uid="{9AD6E43F-BE60-4D79-BBB9-BD50074716FA}"/>
    <cellStyle name="C07L" xfId="148" xr:uid="{A7F26848-7307-4A94-84DB-7BB7BDE6AA22}"/>
    <cellStyle name="Calc Currency (0)" xfId="149" xr:uid="{EB52209B-8358-4A99-A5AE-6D941EDFA16B}"/>
    <cellStyle name="CalcInput" xfId="150" xr:uid="{3CAD9A45-56E4-46A5-A4A8-16159B20368D}"/>
    <cellStyle name="Calcs" xfId="151" xr:uid="{580B8E2F-47F6-4C59-979F-65D916BFC841}"/>
    <cellStyle name="column Head Underlined" xfId="152" xr:uid="{84CFFEE1-341E-4BE1-9F38-320131BFA788}"/>
    <cellStyle name="Column Heading" xfId="153" xr:uid="{1C52D6C8-2766-45D2-8024-564D4D96ABB2}"/>
    <cellStyle name="Comma" xfId="154" builtinId="3"/>
    <cellStyle name="Comma  - Style1" xfId="155" xr:uid="{E47AFF42-8A38-4A38-BE2F-CE31B67E1153}"/>
    <cellStyle name="Comma  - Style2" xfId="156" xr:uid="{5017C2F9-BD0D-4513-A018-8CEEB4D02DBA}"/>
    <cellStyle name="Comma  - Style3" xfId="157" xr:uid="{4AAFBA33-F97B-4F78-A0F9-274BE639716F}"/>
    <cellStyle name="Comma  - Style4" xfId="158" xr:uid="{E4446CF9-B21F-412E-BBD6-44093EEE752E}"/>
    <cellStyle name="Comma  - Style5" xfId="159" xr:uid="{5CDDA219-7B9F-4EB6-8A8C-CC157BAC6A2F}"/>
    <cellStyle name="Comma  - Style6" xfId="160" xr:uid="{5A3ED389-8BAF-47EC-B735-6221A354C62E}"/>
    <cellStyle name="Comma  - Style7" xfId="161" xr:uid="{DDBD3616-E074-437D-83AE-F59C315E9EA2}"/>
    <cellStyle name="Comma  - Style8" xfId="162" xr:uid="{7A377AAC-3C94-478A-A896-580D986A742B}"/>
    <cellStyle name="Comma (0)" xfId="163" xr:uid="{C19A56F7-FB98-4B7A-AE17-EA9B14731638}"/>
    <cellStyle name="Comma [0]" xfId="164" builtinId="6"/>
    <cellStyle name="Comma [1]" xfId="165" xr:uid="{5EEB587A-5BDD-4E87-AB96-BD44EABE862A}"/>
    <cellStyle name="Comma [2]" xfId="166" xr:uid="{ABB4C7C5-EF95-4EBF-941B-24EA945F250B}"/>
    <cellStyle name="Comma [3]" xfId="167" xr:uid="{5F2AE56C-2D52-421F-9FFA-B7AD6619C5D8}"/>
    <cellStyle name="Comma 0" xfId="168" xr:uid="{ED17058E-0734-4AB0-863E-8A391B2BC120}"/>
    <cellStyle name="Comma 0*" xfId="169" xr:uid="{B3A959CE-FD67-4FC3-8AEC-74C0AABD739D}"/>
    <cellStyle name="Comma 0_Model_Sep_2_02" xfId="170" xr:uid="{025A6758-C843-42F4-90C4-16F1F01579BE}"/>
    <cellStyle name="Comma 13" xfId="528" xr:uid="{2DAE9E3D-E586-42B3-878C-68F2F5E837DC}"/>
    <cellStyle name="Comma 2" xfId="171" xr:uid="{683070DD-A92C-4B13-A8EC-745E3428D583}"/>
    <cellStyle name="Comma 2 2" xfId="172" xr:uid="{E3A54D33-ED78-4C5A-9079-9DD02C4B8B87}"/>
    <cellStyle name="Comma 2*" xfId="173" xr:uid="{3EB966B9-EFCB-41A6-9D1B-B8097EB1F805}"/>
    <cellStyle name="Comma 2_Model_Sep_2_02" xfId="174" xr:uid="{473AB726-8E80-45FB-8042-1A19037C01EB}"/>
    <cellStyle name="Comma 3" xfId="175" xr:uid="{4C4E769E-8913-4DB1-A1E8-27C612436A42}"/>
    <cellStyle name="Comma 3 2" xfId="176" xr:uid="{D2112019-2AE9-4E18-A773-7040A4B02EF3}"/>
    <cellStyle name="Comma 3*" xfId="177" xr:uid="{38DFCE21-4029-4309-AD6E-C4F6EC6C936E}"/>
    <cellStyle name="Comma 4" xfId="178" xr:uid="{DADD3E11-2802-4E94-A0E6-30F196AA7ADA}"/>
    <cellStyle name="Comma 5" xfId="179" xr:uid="{6BD534FA-3FBD-4493-988D-628219102CF6}"/>
    <cellStyle name="Comma 6" xfId="180" xr:uid="{7710E462-D192-4551-BE6E-1CF0CF2E5C5C}"/>
    <cellStyle name="Comma*" xfId="181" xr:uid="{C3903A08-F827-472D-833B-EC0D0D0212F3}"/>
    <cellStyle name="comma[0]" xfId="182" xr:uid="{73CCF646-2EED-4C29-A420-8A440101209F}"/>
    <cellStyle name="Comma0" xfId="183" xr:uid="{F457BCBD-B755-43F6-B31E-19D52861B22B}"/>
    <cellStyle name="CompanyName" xfId="184" xr:uid="{111E155B-4733-4A5B-9F30-321A19A13A14}"/>
    <cellStyle name="Config Data" xfId="185" xr:uid="{D34D5494-6552-42B0-B0B7-FD8FC3DB9F68}"/>
    <cellStyle name="Copied" xfId="186" xr:uid="{A77AF7FE-54D4-4C2C-AC83-A99F342F26EC}"/>
    <cellStyle name="Copy0_" xfId="187" xr:uid="{4D6A830E-E64D-4E31-9A61-89CAA19398C0}"/>
    <cellStyle name="Copy1_" xfId="188" xr:uid="{22367371-ED3C-4EF0-B994-3EE26D97A6BE}"/>
    <cellStyle name="Copy2_" xfId="189" xr:uid="{1F18FE50-CB9A-45F7-9248-274AAFF099CF}"/>
    <cellStyle name="Currency" xfId="190" builtinId="4"/>
    <cellStyle name="Currency [0.00]" xfId="191" xr:uid="{9A527BE6-643E-43BF-B09B-32940604AFDD}"/>
    <cellStyle name="Currency 0" xfId="192" xr:uid="{65B8EC87-E91A-4D62-8BCF-F0AAA2A4C45E}"/>
    <cellStyle name="Currency 10 2" xfId="526" xr:uid="{CE1CA856-D959-45FC-8533-52AD01702714}"/>
    <cellStyle name="Currency 2" xfId="193" xr:uid="{451966F7-5EDC-4FBF-A54E-749EB09F75D4}"/>
    <cellStyle name="Currency 2 2" xfId="194" xr:uid="{754B4B88-DC98-4A46-9C8B-19861BE2E09B}"/>
    <cellStyle name="Currency 2*" xfId="195" xr:uid="{8B6B27E4-DF4D-4A65-BA73-5F7A13B1A388}"/>
    <cellStyle name="Currency 2_Model_Sep_2_02" xfId="196" xr:uid="{FB6D340C-849A-4A63-AC5A-64BDA8C7BE73}"/>
    <cellStyle name="Currency 3" xfId="197" xr:uid="{613CCD1D-20C4-4669-AECF-CBCFE631BF7D}"/>
    <cellStyle name="Currency 3 2" xfId="198" xr:uid="{5886B4F5-EB89-450A-95AC-73A36750DCC2}"/>
    <cellStyle name="Currency 3*" xfId="199" xr:uid="{DAD406FC-010C-4908-82A6-A8E69E12BE44}"/>
    <cellStyle name="Currency 4" xfId="200" xr:uid="{37E42E57-28C5-4117-BF95-8E1EDB241F3A}"/>
    <cellStyle name="Currency*" xfId="201" xr:uid="{0AF22486-3FE2-4957-B5A3-D5C5999A76D3}"/>
    <cellStyle name="Currency0" xfId="202" xr:uid="{202DF2B3-ECEA-4ECC-96D7-37B449AFA9A7}"/>
    <cellStyle name="Dash" xfId="203" xr:uid="{5F0AD230-E27F-4134-A363-C0978A965AE3}"/>
    <cellStyle name="Date" xfId="204" xr:uid="{F348C2CF-922B-4B54-90F6-28CEEC053187}"/>
    <cellStyle name="Date Aligned" xfId="205" xr:uid="{695B0DB1-8C4C-477B-BB89-F9877CEEB4EF}"/>
    <cellStyle name="Date Aligned*" xfId="206" xr:uid="{454D42BC-4199-4B07-9335-D5F9B9B4DCB9}"/>
    <cellStyle name="Date Aligned_Model_Sep_2_02" xfId="207" xr:uid="{313FE5EB-A76D-4D86-9A7A-F1B6CB29B237}"/>
    <cellStyle name="Date_1 1 OFTO t2 v0 2 (IBA def tax)" xfId="208" xr:uid="{4B3A0F06-9E26-47F0-98D2-8DCBC166D102}"/>
    <cellStyle name="Dec places 0" xfId="209" xr:uid="{DF0B010F-9C03-4576-9B25-F0B4DF831FC0}"/>
    <cellStyle name="Dec places 1, millions" xfId="210" xr:uid="{71F96335-A25B-47A3-85AE-A608AE67F1D9}"/>
    <cellStyle name="Dec places 2" xfId="211" xr:uid="{3ACC6AAC-00A6-412D-BE19-2E99D8DFB52E}"/>
    <cellStyle name="Dec places 2, millions" xfId="212" xr:uid="{1628CA08-272B-400C-839A-16C88EC13547}"/>
    <cellStyle name="Dezimal [0]_Compiling Utility Macros" xfId="213" xr:uid="{3B0A39EA-17B6-4FC4-8560-D4EB70757448}"/>
    <cellStyle name="Dezimal_Compiling Utility Macros" xfId="214" xr:uid="{6058AAFF-A307-4574-8898-6603ABCDDCFA}"/>
    <cellStyle name="dollar" xfId="215" xr:uid="{ACC1DF6D-AA1E-472B-BF97-0BBCFD1DEA1F}"/>
    <cellStyle name="dollar[0]" xfId="216" xr:uid="{75E119BC-4A02-4D46-BAE5-8CDC81815B1B}"/>
    <cellStyle name="dollar_Model_Sep_2_02" xfId="217" xr:uid="{F21607ED-5363-4B03-A510-64574FCAD3A7}"/>
    <cellStyle name="Dotted Line" xfId="218" xr:uid="{B22DEA86-E17D-4A2C-A337-F74789CFB41C}"/>
    <cellStyle name="DP 0, no commas" xfId="219" xr:uid="{EEA84C82-26E9-4FBB-A4D0-9766B086E5B2}"/>
    <cellStyle name="Emphasis 1" xfId="220" xr:uid="{E08B315D-202E-4BB7-924E-2EECCBC8ABE6}"/>
    <cellStyle name="Emphasis 2" xfId="221" xr:uid="{4D6D26D9-EB41-49CC-9E31-FC427FA90C3B}"/>
    <cellStyle name="Emphasis 3" xfId="222" xr:uid="{6B2D45E7-804C-4424-A860-03047E5F0DB1}"/>
    <cellStyle name="Entered" xfId="223" xr:uid="{3C92ADF2-8CD5-4307-8BE3-1B5288A68B83}"/>
    <cellStyle name="Euro" xfId="224" xr:uid="{223DA82A-5DAD-458D-8AF7-D69D0FDE615D}"/>
    <cellStyle name="EYBlocked" xfId="225" xr:uid="{DFAD2E64-88D5-49AC-A288-0D7ACF081A68}"/>
    <cellStyle name="EYCallUp" xfId="226" xr:uid="{125E55E4-9EB9-4D25-BE50-748E14A06C85}"/>
    <cellStyle name="EYCheck" xfId="227" xr:uid="{2B0F6431-A40B-415D-8934-7162ED13B892}"/>
    <cellStyle name="EYDate" xfId="228" xr:uid="{265C21A9-CDA0-445D-8BA1-F4442C3FBDFF}"/>
    <cellStyle name="EYDeviant" xfId="229" xr:uid="{11BDC266-FCE0-4A75-9127-9D790272BDA8}"/>
    <cellStyle name="EYHeader1" xfId="230" xr:uid="{909014BC-8F75-4040-AB71-A7194CFE3B26}"/>
    <cellStyle name="EYHeader2" xfId="231" xr:uid="{78051A59-F525-407D-A437-8DDD1913F0CA}"/>
    <cellStyle name="EYHeader3" xfId="232" xr:uid="{598A9EB2-D04B-4E7C-B257-53E418A768C9}"/>
    <cellStyle name="EYInputDate" xfId="233" xr:uid="{183A40D0-86F1-4861-B15F-8F9394998C1C}"/>
    <cellStyle name="EYInputPercent" xfId="234" xr:uid="{F60E71FB-D4A4-42A9-9F73-A7826FE03BF6}"/>
    <cellStyle name="EYInputValue" xfId="235" xr:uid="{40F9AEE9-4BC9-47BF-ABAD-F290FC9B2883}"/>
    <cellStyle name="EYNormal" xfId="236" xr:uid="{5CD3618F-5AD8-43B8-BE01-9E60FAED1EA6}"/>
    <cellStyle name="EYPercent" xfId="237" xr:uid="{2E93A72C-3D7F-456F-BDB5-A67BCAB8922B}"/>
    <cellStyle name="EYPercentCapped" xfId="238" xr:uid="{93756711-2D12-46AD-A83E-A64CAE984EB6}"/>
    <cellStyle name="EYSubTotal" xfId="239" xr:uid="{25A4134D-2C71-4A15-95AB-4791D4657092}"/>
    <cellStyle name="EYTotal" xfId="240" xr:uid="{310909E3-8657-4E25-9CA6-37DE0C335582}"/>
    <cellStyle name="EYWIP" xfId="241" xr:uid="{0FE1D1A3-9BEF-47AC-9F4B-7300801D7468}"/>
    <cellStyle name="Fixed" xfId="242" xr:uid="{D5D6E7AF-1563-4254-A6FC-0175DBB3EE6F}"/>
    <cellStyle name="FOOTER - Style1" xfId="243" xr:uid="{0B39F699-12F1-4E1D-8CAD-9EB3DD60273D}"/>
    <cellStyle name="Footnote" xfId="244" xr:uid="{6A02AD7C-6E3F-4090-BCF5-D614818F962A}"/>
    <cellStyle name="FORECAST" xfId="245" xr:uid="{70F86A22-39A3-4433-971E-88CA80A2FA99}"/>
    <cellStyle name="From" xfId="246" xr:uid="{74374522-381B-477D-9445-CD8DEE9C484E}"/>
    <cellStyle name="General" xfId="247" xr:uid="{F9F3F354-AAC3-4336-BFF0-77A6E7447FC0}"/>
    <cellStyle name="Grey" xfId="248" xr:uid="{780D22E8-D4C5-4D6F-9205-BF89F0B4D802}"/>
    <cellStyle name="Hard Percent" xfId="249" xr:uid="{2049C271-95BA-4C05-BF52-C7C9AE91406F}"/>
    <cellStyle name="Header" xfId="250" xr:uid="{8B33DC58-BA55-4D7C-A771-F7E5DD30E2EB}"/>
    <cellStyle name="Header1" xfId="251" xr:uid="{50B0703A-373C-421F-A36C-10CB59AD0867}"/>
    <cellStyle name="Header2" xfId="252" xr:uid="{E041601D-0377-42F7-8D54-279ED4D971A6}"/>
    <cellStyle name="Heading 1" xfId="253" builtinId="16" customBuiltin="1"/>
    <cellStyle name="Heading 2" xfId="254" builtinId="17" customBuiltin="1"/>
    <cellStyle name="Heading1" xfId="255" xr:uid="{D93EA7FE-B2D9-427B-9866-6C75EE32E430}"/>
    <cellStyle name="Heading2" xfId="256" xr:uid="{5225725F-432C-4E42-AF39-8465D6D7B841}"/>
    <cellStyle name="HEADINGS" xfId="257" xr:uid="{246F51D9-D8E3-4691-BEF4-7D53C45C198B}"/>
    <cellStyle name="HIGHLIGHT" xfId="258" xr:uid="{0DE50766-5713-481D-BFEA-8BB24411B2CE}"/>
    <cellStyle name="Incomplete" xfId="259" xr:uid="{1140C7A6-9B69-42BA-A554-636E2CAAA24F}"/>
    <cellStyle name="Input [yellow]" xfId="260" xr:uid="{A20ED8A7-21D1-4C9E-A8CC-FE418418913E}"/>
    <cellStyle name="InputBlueFont" xfId="261" xr:uid="{1EFE33A7-2F4C-4625-B995-F2399CD12D01}"/>
    <cellStyle name="InputData" xfId="262" xr:uid="{32725644-9CBF-487C-91C8-5E0405443804}"/>
    <cellStyle name="InputNegative" xfId="263" xr:uid="{E8403F14-1DA4-4758-851D-F866CBDFD804}"/>
    <cellStyle name="Integer" xfId="264" xr:uid="{AAA0DA8A-0FC8-400D-9C5A-22F07A1ADC9C}"/>
    <cellStyle name="MACRO" xfId="265" xr:uid="{38FBD12A-1965-4155-B338-79213CDCF165}"/>
    <cellStyle name="Main Heading" xfId="266" xr:uid="{204DA52E-4C7E-497D-A30D-733B2F109D8C}"/>
    <cellStyle name="Main Title" xfId="267" xr:uid="{833563E7-8451-4645-A67A-20C6943113EC}"/>
    <cellStyle name="MAND_x000a_CHECK.COMMAND_x000e_RENAME.COMMAND_x0008_SHOW.BAR_x000b_DELETE.MENU_x000e_DELETE.COMMAND_x000e_GET.CHA" xfId="268" xr:uid="{AE9AA5C5-7A47-4702-A782-9B2327EBF07E}"/>
    <cellStyle name="Model" xfId="269" xr:uid="{0B5E5920-0BD5-478C-BA8E-03FA3C49D497}"/>
    <cellStyle name="mult" xfId="270" xr:uid="{C0C3815B-E07E-4332-B825-727F9CC9AD5A}"/>
    <cellStyle name="Multiple" xfId="271" xr:uid="{5576246B-85DE-4BBA-A8FB-F65A7743D29C}"/>
    <cellStyle name="MultipleBelow" xfId="272" xr:uid="{AA8FD1B4-6A87-45A0-94CE-10EC85FE4EDE}"/>
    <cellStyle name="NGBlocked" xfId="273" xr:uid="{86682D91-AB48-4602-B1A5-9D84286B8DE9}"/>
    <cellStyle name="NGCallUp" xfId="274" xr:uid="{39531545-BD15-47B9-9948-D94543BF17B4}"/>
    <cellStyle name="NGCheck" xfId="275" xr:uid="{5EF0BA09-1E1D-41D7-9792-3B3836F015D5}"/>
    <cellStyle name="NGDate" xfId="276" xr:uid="{93EA887A-143E-4EEE-9D91-D86152156D8B}"/>
    <cellStyle name="NGDeviant" xfId="277" xr:uid="{7B1D4BB0-4816-4DF4-AEB9-1718A4E92F12}"/>
    <cellStyle name="NGHeader1" xfId="278" xr:uid="{4A293027-49D3-4523-8AB1-2B90E44C4752}"/>
    <cellStyle name="NGHeader2" xfId="279" xr:uid="{E8B9F043-B8F2-4922-8B28-52CEAB3055CE}"/>
    <cellStyle name="NGHeader3" xfId="280" xr:uid="{3D358988-1A46-4F15-834D-32F3B8C57452}"/>
    <cellStyle name="NGInputDate" xfId="281" xr:uid="{06ADB6D3-8BB2-4CF7-8E98-CA52FA831551}"/>
    <cellStyle name="NGInputPercent" xfId="282" xr:uid="{0E1BAF10-620F-482D-AB95-66CDD28CC21C}"/>
    <cellStyle name="NGInputValue" xfId="283" xr:uid="{B6E7F3D0-8A5A-4A16-BB39-2334CD587DBB}"/>
    <cellStyle name="NGNormal" xfId="284" xr:uid="{AFD3B0D1-CDDF-46BF-A330-0305B738BE36}"/>
    <cellStyle name="NGPercent" xfId="285" xr:uid="{C455D8D8-0535-47E6-A062-FD73B2034E22}"/>
    <cellStyle name="NGPercentCapped" xfId="286" xr:uid="{7A44D340-E10C-44C1-93FD-30406164DFFF}"/>
    <cellStyle name="NGSubTotal" xfId="287" xr:uid="{92406498-7703-4B24-978C-CBCDFA00C899}"/>
    <cellStyle name="NGTotal" xfId="288" xr:uid="{8077490F-7681-49CD-840F-DB15F81B4A11}"/>
    <cellStyle name="NGWIP" xfId="289" xr:uid="{AC0E75DF-210F-48EF-BDD9-50C747C95682}"/>
    <cellStyle name="no dec" xfId="290" xr:uid="{B26175E9-8585-4C51-8330-4D7F9326E226}"/>
    <cellStyle name="Normal" xfId="0" builtinId="0"/>
    <cellStyle name="Normal - Style1" xfId="291" xr:uid="{60D43FE9-A6C2-4477-93EB-4DA82C83C4E6}"/>
    <cellStyle name="Normal (0)" xfId="292" xr:uid="{9D4A6DFD-FEFA-4F47-B655-360C2B6074CD}"/>
    <cellStyle name="Normal (0) U" xfId="293" xr:uid="{17B4B284-3A80-4E0B-BEF2-35943CB4FF4A}"/>
    <cellStyle name="Normal (0) UD" xfId="294" xr:uid="{35850F15-7CB8-4135-9332-7EA2D680E6F2}"/>
    <cellStyle name="Normal (1)" xfId="295" xr:uid="{BC5EA25E-39E0-4A2A-A127-5C0DDECAD243}"/>
    <cellStyle name="Normal (2)" xfId="296" xr:uid="{570ED24D-87F8-4098-B38F-B7B8E27CA896}"/>
    <cellStyle name="Normal (3)" xfId="297" xr:uid="{2CFEC00F-CE3D-492D-9BAD-AA1706EE6130}"/>
    <cellStyle name="Normal 2" xfId="298" xr:uid="{C0F184B3-8FF1-42DD-BDE4-C8D9EE71ED69}"/>
    <cellStyle name="Normal 2 2" xfId="525" xr:uid="{BDDAF79C-C46D-442C-85ED-7BE63152D21F}"/>
    <cellStyle name="Normal 3" xfId="299" xr:uid="{5BEE96D2-FA12-4C91-B29E-A692D93886C8}"/>
    <cellStyle name="Normal 3 2" xfId="300" xr:uid="{7EC9F978-5B48-4AC7-852E-0B8D712C346E}"/>
    <cellStyle name="Normal 3_Attach O, GG, Support -New Method 2-14-11" xfId="301" xr:uid="{C65D9DF7-EB99-477A-B59B-6AE0C536B7E5}"/>
    <cellStyle name="Normal 4" xfId="302" xr:uid="{51480A37-31FC-480A-9A9A-A7D03CAB00AE}"/>
    <cellStyle name="Normal 4 2" xfId="303" xr:uid="{3BFEF3E3-1AD2-4923-B7EA-EC1594FACF39}"/>
    <cellStyle name="Normal 5" xfId="304" xr:uid="{B5AF71A0-4342-460C-8505-9CC7D916F86F}"/>
    <cellStyle name="Normal 5 2" xfId="305" xr:uid="{3AD41FC8-C4EF-43DA-A4B1-A0796072CBE7}"/>
    <cellStyle name="Normal 6" xfId="306" xr:uid="{02007D37-8388-453B-82F6-6640D2440B96}"/>
    <cellStyle name="Normal 6 2" xfId="307" xr:uid="{3EA50C84-4101-4186-8004-75FCF1108494}"/>
    <cellStyle name="Normal 6 2 2" xfId="527" xr:uid="{0ADC2142-3F47-4C02-A1BC-2212FDC43CA1}"/>
    <cellStyle name="Normal 7" xfId="308" xr:uid="{78F60503-4804-40F5-BB9D-4B7B25FFA093}"/>
    <cellStyle name="Normal 8" xfId="309" xr:uid="{5E28A7B7-329A-4F43-BBE1-28E12118599D}"/>
    <cellStyle name="Normal dotted under" xfId="310" xr:uid="{0799F79B-D3BD-41F6-BBAD-0EAA8558A628}"/>
    <cellStyle name="Normal U" xfId="311" xr:uid="{EEC06349-0C5D-42CD-B01D-D707967B65E9}"/>
    <cellStyle name="Normal_21 Exh B" xfId="312" xr:uid="{4C4B29E0-F101-415E-AEC0-A7FAB213B601}"/>
    <cellStyle name="Normal_Duquesne Settled Fromula 10-3-07" xfId="313" xr:uid="{B7143E2B-024E-4C84-BF81-F4860EE0C45B}"/>
    <cellStyle name="Normal3d" xfId="314" xr:uid="{A4C3E2AA-94B6-46F5-B739-C22EBBAA4B3F}"/>
    <cellStyle name="NormalGB" xfId="315" xr:uid="{5A4A8450-9BEC-4DBB-89D9-3B8E2C61A3C0}"/>
    <cellStyle name="Number" xfId="316" xr:uid="{7C354075-E404-4E15-829E-3FD4CA21F9FA}"/>
    <cellStyle name="Output Amounts" xfId="317" xr:uid="{9C5A5B9E-34E5-4A36-AC5E-4B79424A1F3E}"/>
    <cellStyle name="Output Column Headings" xfId="318" xr:uid="{A7CE3352-D2AA-4014-91F4-D36E48F0460A}"/>
    <cellStyle name="Output Line Items" xfId="319" xr:uid="{DF1AC41E-935B-4BC6-BBAC-1ED0420F7F59}"/>
    <cellStyle name="Output Report Heading" xfId="320" xr:uid="{6B3F2698-5FD5-485D-AA41-4DA63C75A8E8}"/>
    <cellStyle name="Output Report Title" xfId="321" xr:uid="{0027CFEE-7081-4DAA-9D35-C722EF2E0173}"/>
    <cellStyle name="Output1_Back" xfId="322" xr:uid="{F920D9E1-7672-46D2-ADAA-453BE3EC34B5}"/>
    <cellStyle name="Page Number" xfId="323" xr:uid="{C693344C-A52A-49C8-B060-301C77455F8F}"/>
    <cellStyle name="PAGE6" xfId="324" xr:uid="{87D7DB34-9327-4422-BC2D-C0871D83F268}"/>
    <cellStyle name="Percent" xfId="325" builtinId="5"/>
    <cellStyle name="Percent [2]" xfId="326" xr:uid="{66969C04-CC81-4E70-9A03-B7AAF66B9247}"/>
    <cellStyle name="Percent 2" xfId="327" xr:uid="{96CAFA5B-1741-47B0-A9AA-755FB524709E}"/>
    <cellStyle name="Percent 2 2" xfId="328" xr:uid="{AC122B94-6F64-4A9D-B4C6-76C46B976BBB}"/>
    <cellStyle name="Percent 2 DP" xfId="329" xr:uid="{222AEF3E-0F3A-4A39-B3DE-749C730DDA86}"/>
    <cellStyle name="Percent 3" xfId="330" xr:uid="{FAD70F17-B534-4707-B339-4EF06F3D708D}"/>
    <cellStyle name="Percent 3 2" xfId="331" xr:uid="{BCB992CD-B4FD-437F-BF8F-0DB3CF819DAD}"/>
    <cellStyle name="Percent 4" xfId="332" xr:uid="{2E164971-1D5D-4F5C-8B95-E332FDCEB8D2}"/>
    <cellStyle name="Percent 5" xfId="333" xr:uid="{CE92F83B-A6E3-4DAF-AB3C-7F32565E0B73}"/>
    <cellStyle name="Percent Input" xfId="334" xr:uid="{254EE8F7-95C1-4974-BC89-4DB86A60F2EB}"/>
    <cellStyle name="Percent(0)" xfId="335" xr:uid="{B1C6EE04-2A7C-48CF-8A7C-BC58AB249631}"/>
    <cellStyle name="Percent(1)" xfId="336" xr:uid="{E6A24C70-391E-4B42-A9E0-BD0F4034A91D}"/>
    <cellStyle name="Percent(2)" xfId="337" xr:uid="{A722771E-D01F-4C49-B6BB-14B332D4579E}"/>
    <cellStyle name="Percent*" xfId="338" xr:uid="{7F84CC6B-245B-4BC5-9B03-C719E1190620}"/>
    <cellStyle name="Percent[1]" xfId="339" xr:uid="{028517F8-C4C8-42F0-BCE6-0950AA312A81}"/>
    <cellStyle name="Percent[2]" xfId="340" xr:uid="{2D5EF49D-B41C-4EF3-B528-7CE197917476}"/>
    <cellStyle name="Percent[2D]" xfId="341" xr:uid="{AE55EBC5-95EF-4FBD-A075-0A5F701B808A}"/>
    <cellStyle name="PROTECTED" xfId="342" xr:uid="{D166F7FD-657E-4845-A78F-9E294FFF871E}"/>
    <cellStyle name="PSChar" xfId="343" xr:uid="{5F05CD83-4695-43DB-8F8D-5F691A15C160}"/>
    <cellStyle name="PSDate" xfId="344" xr:uid="{3CF0317E-2473-4DE6-B4C3-230A9C5219D3}"/>
    <cellStyle name="PSDec" xfId="345" xr:uid="{793FA6EB-24AE-4C8E-AA3B-65D21B17F3D6}"/>
    <cellStyle name="PSdesc" xfId="346" xr:uid="{E2B5A9CC-39EA-4996-AC41-7B9BBD9AF936}"/>
    <cellStyle name="PSHeading" xfId="347" xr:uid="{6BD1C13A-9184-4761-8990-FEE5E8FEBB12}"/>
    <cellStyle name="PSInt" xfId="348" xr:uid="{44F09A7A-9E51-4771-AB8D-6ADD1768FDD5}"/>
    <cellStyle name="PSSpacer" xfId="349" xr:uid="{2AC31B1B-3DAE-46A3-B8D7-FC6E9C0C2D29}"/>
    <cellStyle name="PStest" xfId="350" xr:uid="{1CC45738-86D9-4158-90C0-041A4234237D}"/>
    <cellStyle name="R00A" xfId="351" xr:uid="{1BB7F08B-347F-4F6B-97DE-BD7FF941FC1F}"/>
    <cellStyle name="R00B" xfId="352" xr:uid="{A82EBBED-E197-4599-8867-7439CC662442}"/>
    <cellStyle name="R00L" xfId="353" xr:uid="{5AB9D6B4-8EC6-491C-9509-1453366A86EF}"/>
    <cellStyle name="R01A" xfId="354" xr:uid="{75AABBEE-E9AC-4AB9-A033-B4D17EDD0479}"/>
    <cellStyle name="R01B" xfId="355" xr:uid="{AE66D3EB-DA4D-4C46-B3A4-77C82911A1D3}"/>
    <cellStyle name="R01H" xfId="356" xr:uid="{952D2FE6-C23F-435D-89A8-6C6CE3F13804}"/>
    <cellStyle name="R01L" xfId="357" xr:uid="{1335753D-E39D-4029-B583-B80A25415813}"/>
    <cellStyle name="R02A" xfId="358" xr:uid="{8B71B588-9ECE-493B-92F0-6F48B0055ABE}"/>
    <cellStyle name="R02B" xfId="359" xr:uid="{51699186-E0FD-4126-AE12-C74B9C32EFA7}"/>
    <cellStyle name="R02H" xfId="360" xr:uid="{7B07A6BB-0CAC-4093-8471-107E0D65CF01}"/>
    <cellStyle name="R02L" xfId="361" xr:uid="{C024C769-932C-4318-90E5-06F88D0FA204}"/>
    <cellStyle name="R03A" xfId="362" xr:uid="{36C96C93-8759-4566-9BFC-A2BAF9BD0018}"/>
    <cellStyle name="R03B" xfId="363" xr:uid="{38A5B65F-7CEC-4505-B6EC-D984C31DBC84}"/>
    <cellStyle name="R03H" xfId="364" xr:uid="{41B71644-798A-4712-901F-A675F40FB2C9}"/>
    <cellStyle name="R03L" xfId="365" xr:uid="{34B17B17-B49A-4E19-8641-985387BF625D}"/>
    <cellStyle name="R04A" xfId="366" xr:uid="{9D76205C-C1C7-4CCE-854E-28687EE8C120}"/>
    <cellStyle name="R04B" xfId="367" xr:uid="{4EEA8D5E-2ECC-47FC-8C4A-4E95EB462000}"/>
    <cellStyle name="R04H" xfId="368" xr:uid="{A9BF94A6-7AD8-4941-9308-97DED50E7A9F}"/>
    <cellStyle name="R04L" xfId="369" xr:uid="{3A4BDDD2-D76F-4386-ADF5-6E82BBE357D9}"/>
    <cellStyle name="R05A" xfId="370" xr:uid="{0DD1404F-140E-4B51-BE53-204C091128EE}"/>
    <cellStyle name="R05B" xfId="371" xr:uid="{F2C25F9B-4192-4D6A-B7B1-2421A4E9A9A3}"/>
    <cellStyle name="R05H" xfId="372" xr:uid="{598CFB68-57C4-4467-B31E-7E6F07D2AF03}"/>
    <cellStyle name="R05L" xfId="373" xr:uid="{821EF901-8134-41CA-8E0C-0915C46EE5FC}"/>
    <cellStyle name="R06A" xfId="374" xr:uid="{71FEDE70-EF3E-49EE-AE90-164262CCA0F5}"/>
    <cellStyle name="R06B" xfId="375" xr:uid="{054F35D2-36B6-41EA-B659-D78630155709}"/>
    <cellStyle name="R06H" xfId="376" xr:uid="{0D0EF024-C27A-4D65-AB7E-A8A313E9E3BA}"/>
    <cellStyle name="R06L" xfId="377" xr:uid="{0372CB0D-D5A5-4E99-8DFB-ABADE9053357}"/>
    <cellStyle name="R07A" xfId="378" xr:uid="{84BCDC22-A1B6-4A6D-8C26-25A2FF408666}"/>
    <cellStyle name="R07B" xfId="379" xr:uid="{8DF61A74-1081-48E1-B3D7-64F0F33242D0}"/>
    <cellStyle name="R07H" xfId="380" xr:uid="{BCC69BDA-8562-45BB-A4F8-3AB4D9964AA4}"/>
    <cellStyle name="R07L" xfId="381" xr:uid="{D875BA86-C003-47E3-A776-7664D2DEE96C}"/>
    <cellStyle name="RangeName" xfId="382" xr:uid="{B4320851-E318-4764-87AA-CCC67348D0AA}"/>
    <cellStyle name="RevList" xfId="383" xr:uid="{0EA7A497-689E-4A4C-9A38-C5D5F1F16C11}"/>
    <cellStyle name="s" xfId="384" xr:uid="{9A11FA26-651B-4A02-864F-A93614715416}"/>
    <cellStyle name="s_B" xfId="385" xr:uid="{C8951E86-094D-4111-B19A-854C82A8BB5F}"/>
    <cellStyle name="s_Bal Sheets" xfId="386" xr:uid="{D8CEF892-AC49-4981-9102-25B2F6F68F85}"/>
    <cellStyle name="s_Bal Sheets_1" xfId="387" xr:uid="{601FD9F2-BDF9-406E-AB09-05D04950D51C}"/>
    <cellStyle name="s_Bal Sheets_2" xfId="388" xr:uid="{F9B8982D-37DD-49FC-A2C4-8A7B578AFE9B}"/>
    <cellStyle name="s_Credit (2)" xfId="389" xr:uid="{5C29CD8F-2626-460B-932A-A515EBC3E55D}"/>
    <cellStyle name="s_Credit (2)_1" xfId="390" xr:uid="{173CBFCF-C3E6-4EFF-92E9-0B5025836A40}"/>
    <cellStyle name="s_Credit (2)_2" xfId="391" xr:uid="{0A45C5AD-FE1F-4805-AB02-5021DAE610D5}"/>
    <cellStyle name="s_DCF Analysis for DPL" xfId="392" xr:uid="{126010FD-1741-4C60-908E-826D49D3131A}"/>
    <cellStyle name="s_DCF Matrix" xfId="393" xr:uid="{3E5D7AE0-A1F1-4404-A7BD-FF6ED5ACBA48}"/>
    <cellStyle name="s_DCF Matrix_1" xfId="394" xr:uid="{BA8558C8-250F-4149-9292-49EE0944041E}"/>
    <cellStyle name="s_DCFLBO Code" xfId="395" xr:uid="{443D74E8-4343-4C38-99D2-97CAA2C86BBE}"/>
    <cellStyle name="s_DCFLBO Code_1" xfId="396" xr:uid="{60B3AB6D-1BB8-4A84-B83C-5C3716FB5290}"/>
    <cellStyle name="s_DPL Valuation1022" xfId="397" xr:uid="{AB030A3C-9853-4960-8E04-5108C1AADE8F}"/>
    <cellStyle name="s_Earnings" xfId="398" xr:uid="{EABD031E-EE58-4BCF-AAC5-85BAF70DE9B8}"/>
    <cellStyle name="s_Earnings (2)" xfId="399" xr:uid="{0252A605-F7DD-48A5-ADA3-B15E2409FF2D}"/>
    <cellStyle name="s_Earnings (2)_1" xfId="400" xr:uid="{9287A81C-5C62-4635-9253-4419B34096DE}"/>
    <cellStyle name="s_Earnings_1" xfId="401" xr:uid="{BF2D01D7-CB3C-418B-92CA-BF81E4D3176A}"/>
    <cellStyle name="s_finsumm" xfId="402" xr:uid="{2305BAC5-72C9-4A6A-A346-41A4F94D7026}"/>
    <cellStyle name="s_finsumm_1" xfId="403" xr:uid="{F386E385-A7C1-443F-9448-38F270599BCE}"/>
    <cellStyle name="s_finsumm_2" xfId="404" xr:uid="{2C91771D-AECA-4E0C-8B8D-6A9E3E90057F}"/>
    <cellStyle name="s_GoroWipTax-to2050_fromCo_Oct21_99" xfId="405" xr:uid="{95C70D1C-63A9-4267-8177-0AE25915807D}"/>
    <cellStyle name="s_HardInc " xfId="406" xr:uid="{8A28D2C9-83DE-4A05-A740-3EB1680E761D}"/>
    <cellStyle name="s_Hist Inputs (2)" xfId="407" xr:uid="{88CA3083-DF35-45D4-90DD-05AB0EE2D712}"/>
    <cellStyle name="s_Hist Inputs (2)_1" xfId="408" xr:uid="{9A263F5C-5990-4EA5-8AAC-628D2FB04095}"/>
    <cellStyle name="s_IEL_finsumm" xfId="409" xr:uid="{16F3F4FC-4B8B-4E79-BEC7-2E23EB83533E}"/>
    <cellStyle name="s_IEL_finsumm_1" xfId="410" xr:uid="{0D13FCF7-55AD-4288-9416-98D4049EF32F}"/>
    <cellStyle name="s_IEL_finsumm_2" xfId="411" xr:uid="{87F0A331-06F9-4CD9-90ED-81A06EF2601E}"/>
    <cellStyle name="s_IEL_finsumm1" xfId="412" xr:uid="{52CA56E6-A30A-4704-ADF2-F37EADBC072F}"/>
    <cellStyle name="s_IEL_finsumm1_1" xfId="413" xr:uid="{11A807FA-70D8-47E4-AB1D-3D12AA8CA7DE}"/>
    <cellStyle name="s_IEL_finsumm1_2" xfId="414" xr:uid="{EC0580B2-22F5-4998-A6E8-717FED9A2C96}"/>
    <cellStyle name="s_Lbo" xfId="415" xr:uid="{74F0870E-01D2-4884-9998-F0E4FD64F453}"/>
    <cellStyle name="s_LBO Summary" xfId="416" xr:uid="{9E8B62F4-1FFB-4D49-A540-67437E7AFB15}"/>
    <cellStyle name="s_LBO Summary_1" xfId="417" xr:uid="{AF9F6EBE-F3AA-4F7F-ADA3-566D72C2C8DC}"/>
    <cellStyle name="s_LBO Summary_2" xfId="418" xr:uid="{012EBFAC-5AB7-4A74-B821-B83683333D9D}"/>
    <cellStyle name="s_Lbo_1" xfId="419" xr:uid="{AB16D42D-A384-4C2B-9E8E-917AF24FF689}"/>
    <cellStyle name="s_rvr_analysis_andrew" xfId="420" xr:uid="{2E43A0DF-47AA-44F0-AD66-08F8ACF201CB}"/>
    <cellStyle name="s_Schedules" xfId="421" xr:uid="{0D7595A9-45C4-40A1-B11A-E8937BDA6A4F}"/>
    <cellStyle name="s_Schedules_1" xfId="422" xr:uid="{295A1FC1-E7F4-482D-81E6-1D646C7DB097}"/>
    <cellStyle name="s_Trans Assump" xfId="423" xr:uid="{2B97F514-8254-40C4-A15C-8B0BB4503BEB}"/>
    <cellStyle name="s_Trans Assump (2)" xfId="424" xr:uid="{6395814D-1B42-488D-9BA8-B078767E1D46}"/>
    <cellStyle name="s_Trans Assump (2)_1" xfId="425" xr:uid="{6C37CF1A-BF67-43C9-9F2E-1D3D68A229D7}"/>
    <cellStyle name="s_Trans Assump_1" xfId="426" xr:uid="{CA2207EF-136A-42E8-9B96-ACDDA9F9FC76}"/>
    <cellStyle name="s_Trans Sum" xfId="427" xr:uid="{1AE688D8-1F90-4266-B94F-C36C02A8F050}"/>
    <cellStyle name="s_Trans Sum_1" xfId="428" xr:uid="{C95F4237-B6AE-49A4-B96C-905F0A8DD4B7}"/>
    <cellStyle name="s_Unit Price Sen. (2)" xfId="429" xr:uid="{860940A6-E672-41FB-BCDE-DB1F395DF35E}"/>
    <cellStyle name="s_Unit Price Sen. (2)_1" xfId="430" xr:uid="{0AC3CC75-4D17-4143-92AF-F04BFBB468C0}"/>
    <cellStyle name="s_Unit Price Sen. (2)_2" xfId="431" xr:uid="{1C76F514-F9D3-425B-AEB1-0BE9445BD43F}"/>
    <cellStyle name="Salomon Logo" xfId="432" xr:uid="{C453A3C0-FE24-4454-A4FB-6C7EF000F1C8}"/>
    <cellStyle name="SAPBEXaggData" xfId="433" xr:uid="{5642F6D3-CBF6-47F6-ABF7-F2BC0EC21E79}"/>
    <cellStyle name="SAPBEXaggDataEmph" xfId="434" xr:uid="{57507B45-6E6B-47BB-83AB-BFAB213DBC36}"/>
    <cellStyle name="SAPBEXaggItem" xfId="435" xr:uid="{AE198C0E-6172-4FB1-A939-8353B1978649}"/>
    <cellStyle name="SAPBEXaggItemX" xfId="436" xr:uid="{37D4EB9E-533A-4036-8F15-25DDDCB7E657}"/>
    <cellStyle name="SAPBEXchaText" xfId="437" xr:uid="{0C77A945-6A7A-4E90-9550-B7A98D3BD70C}"/>
    <cellStyle name="SAPBEXexcBad7" xfId="438" xr:uid="{44F842D0-7A7F-4B8E-AE4D-47A8C4D324E2}"/>
    <cellStyle name="SAPBEXexcBad8" xfId="439" xr:uid="{7399A6DB-E575-4871-8F34-CFEA798FCD99}"/>
    <cellStyle name="SAPBEXexcBad9" xfId="440" xr:uid="{68E53198-116E-4E76-BFAE-93C11073B67D}"/>
    <cellStyle name="SAPBEXexcCritical4" xfId="441" xr:uid="{300A33DF-408F-4CA4-AC7D-60CB869F4FF4}"/>
    <cellStyle name="SAPBEXexcCritical5" xfId="442" xr:uid="{B25DC620-2AAC-4FE8-AC28-9F6691E5B5B7}"/>
    <cellStyle name="SAPBEXexcCritical6" xfId="443" xr:uid="{6B0E0B59-0AD7-4E9A-9B77-34A4D8ED2C10}"/>
    <cellStyle name="SAPBEXexcGood1" xfId="444" xr:uid="{40C0655F-A989-457C-9A9F-6B89C6A30038}"/>
    <cellStyle name="SAPBEXexcGood2" xfId="445" xr:uid="{3517C4AD-9413-411D-8BC2-B02B45FE92BA}"/>
    <cellStyle name="SAPBEXexcGood3" xfId="446" xr:uid="{69BF91D6-3E92-453E-B54F-3C4DBBB4C2DA}"/>
    <cellStyle name="SAPBEXfilterDrill" xfId="447" xr:uid="{55F31A17-D98A-4401-887E-4DB092B7E1BF}"/>
    <cellStyle name="SAPBEXfilterItem" xfId="448" xr:uid="{8CDF1C26-1951-444E-98C9-44DB8299F306}"/>
    <cellStyle name="SAPBEXfilterText" xfId="449" xr:uid="{303C6C7C-0A5C-4D8B-BA84-59060C2B0145}"/>
    <cellStyle name="SAPBEXformats" xfId="450" xr:uid="{AAA31275-DA6D-4B77-B680-97BEF6135919}"/>
    <cellStyle name="SAPBEXheaderItem" xfId="451" xr:uid="{225B0983-78F6-432E-8902-BE8E181973EB}"/>
    <cellStyle name="SAPBEXheaderText" xfId="452" xr:uid="{0562266A-1C58-4440-8786-E2E4C72BC4A2}"/>
    <cellStyle name="SAPBEXHLevel0" xfId="453" xr:uid="{1FEB433C-895A-4AFD-85C5-776A80A06551}"/>
    <cellStyle name="SAPBEXHLevel0X" xfId="454" xr:uid="{FC5BAC00-8ED5-49DF-BE42-B7168229231C}"/>
    <cellStyle name="SAPBEXHLevel1" xfId="455" xr:uid="{0E61A248-7F31-4847-91A2-D624BB18A381}"/>
    <cellStyle name="SAPBEXHLevel1X" xfId="456" xr:uid="{9BF43D8B-3941-4DE7-B687-F5A983539E1D}"/>
    <cellStyle name="SAPBEXHLevel2" xfId="457" xr:uid="{BEF875DB-215D-44EC-9655-416A07D92CD3}"/>
    <cellStyle name="SAPBEXHLevel2X" xfId="458" xr:uid="{BCF95828-491D-4115-8820-14AB9188F5E8}"/>
    <cellStyle name="SAPBEXHLevel3" xfId="459" xr:uid="{6793C1B9-D1DD-4FD5-9C5F-A9C6715343BD}"/>
    <cellStyle name="SAPBEXHLevel3X" xfId="460" xr:uid="{FCCE42BD-97F6-4850-AAAF-212953953868}"/>
    <cellStyle name="SAPBEXinputData" xfId="461" xr:uid="{BE53A93D-7BC6-41AB-9523-7D83E3F012F7}"/>
    <cellStyle name="SAPBEXItemHeader" xfId="462" xr:uid="{119BE024-BA06-403F-888E-2B1BDDAAA94A}"/>
    <cellStyle name="SAPBEXresData" xfId="463" xr:uid="{FCB585E1-75FD-4251-9DBF-421509820E0F}"/>
    <cellStyle name="SAPBEXresDataEmph" xfId="464" xr:uid="{F491A756-C90A-431A-A049-0A2654C45678}"/>
    <cellStyle name="SAPBEXresItem" xfId="465" xr:uid="{54C5F66E-4CB1-48B2-B42C-E06B5514D487}"/>
    <cellStyle name="SAPBEXresItemX" xfId="466" xr:uid="{82325329-9341-47D2-9D04-CBA221D45636}"/>
    <cellStyle name="SAPBEXstdData" xfId="467" xr:uid="{F5ED70C4-D61F-4568-A904-2A25C86F1F56}"/>
    <cellStyle name="SAPBEXstdDataEmph" xfId="468" xr:uid="{0D32E20F-F602-414E-B7E9-EA05394B065C}"/>
    <cellStyle name="SAPBEXstdItem" xfId="469" xr:uid="{E8B5F3FE-D63B-4BB7-A01A-C7019F93BF58}"/>
    <cellStyle name="SAPBEXstdItemX" xfId="470" xr:uid="{4DA3FB51-8256-40AD-A971-7376C2D0DA2A}"/>
    <cellStyle name="SAPBEXtitle" xfId="471" xr:uid="{619697B1-80B3-4405-88AC-FE976FA4AA74}"/>
    <cellStyle name="SAPBEXunassignedItem" xfId="472" xr:uid="{13FDC538-AE6C-45D7-870C-BABE0B18F38A}"/>
    <cellStyle name="SAPBEXundefined" xfId="473" xr:uid="{91D931E6-BBD9-40C7-8AAF-A552EBF06D31}"/>
    <cellStyle name="Sch_name" xfId="474" xr:uid="{CF80FF3D-5EE3-4652-A924-995AF1589B88}"/>
    <cellStyle name="SECTION" xfId="475" xr:uid="{C9A64441-6730-492F-9ADF-AAB274EE768F}"/>
    <cellStyle name="Section Head" xfId="476" xr:uid="{35F5FFDC-EBC2-433F-AAF0-9CB1CA52E6B6}"/>
    <cellStyle name="Separador de milhares_DADOS DO BALANCO" xfId="477" xr:uid="{0A5425C3-18ED-480F-87D4-F42E6FB0AA16}"/>
    <cellStyle name="Shading" xfId="478" xr:uid="{DCBEC038-FC68-4043-AFF0-CC90080858C7}"/>
    <cellStyle name="Sheet Header" xfId="479" xr:uid="{E30B4DDE-49A2-4531-8879-6F42A5E6BB46}"/>
    <cellStyle name="Sheet Title" xfId="480" xr:uid="{1D7C1F19-67E8-4897-B220-2BA427CBB532}"/>
    <cellStyle name="ShOut" xfId="481" xr:uid="{804D117B-DE1E-4FAD-B5C3-278D8FD817E6}"/>
    <cellStyle name="sideways" xfId="482" xr:uid="{10E23F72-4744-47A1-AD80-3A398CB390E7}"/>
    <cellStyle name="SSN" xfId="483" xr:uid="{2174F67D-F9F4-45AA-A42E-D5380845B633}"/>
    <cellStyle name="Standaard_Blad1" xfId="484" xr:uid="{7E9F5382-D334-4AD0-A83B-F6EEF259859E}"/>
    <cellStyle name="Standard_Anpassen der Amortisation" xfId="485" xr:uid="{B9826888-44DE-4AA4-A523-1C45ADF03C85}"/>
    <cellStyle name="Style 1" xfId="486" xr:uid="{CECA9EE1-67B8-46D5-B8B9-08D6E8C83F2A}"/>
    <cellStyle name="Style 2" xfId="487" xr:uid="{F8E24817-86A6-44B0-A13C-21EED9D8BDAC}"/>
    <cellStyle name="Style 3" xfId="488" xr:uid="{2042D62A-F0F4-4E8A-B42F-ED4173E8892F}"/>
    <cellStyle name="subhead" xfId="489" xr:uid="{F18658B8-E760-4B5F-83A8-D04A5566FDC3}"/>
    <cellStyle name="Subheading" xfId="490" xr:uid="{F66E544A-145C-4E33-A9E7-952D8607BB9B}"/>
    <cellStyle name="Subtotal" xfId="491" xr:uid="{B87668AD-09D5-4393-BB96-86E61AEFB791}"/>
    <cellStyle name="Sub-total" xfId="492" xr:uid="{524584B9-ECF1-443D-A053-581F790F9708}"/>
    <cellStyle name="swpBody01" xfId="493" xr:uid="{F1B8DF4D-B002-4B7B-8BFD-FDF82A7F38AD}"/>
    <cellStyle name="System Defined" xfId="494" xr:uid="{06AD9D31-1D12-4444-AB9C-0DEA07892FBE}"/>
    <cellStyle name="Table Head" xfId="495" xr:uid="{FC484E15-02BE-44EF-A0D5-10526E80F346}"/>
    <cellStyle name="Table Head Aligned" xfId="496" xr:uid="{552FB1DD-B1F0-4C89-B0AB-03872CE4B003}"/>
    <cellStyle name="Table Head Blue" xfId="497" xr:uid="{1B49CF30-639D-421A-BA4F-F293C7E30FB7}"/>
    <cellStyle name="Table Head Green" xfId="498" xr:uid="{61A86122-C391-4841-8423-CA6BA67CB484}"/>
    <cellStyle name="Table Head_Val_Sum_Graph" xfId="499" xr:uid="{72F6B4FA-5C9B-43A1-BE75-468DBEB797EC}"/>
    <cellStyle name="Table Text" xfId="500" xr:uid="{F8575347-F3F1-4764-8748-4460F9B40FA6}"/>
    <cellStyle name="Table Title" xfId="501" xr:uid="{ED468A79-CC9C-48DA-9354-B2B18C2DA29A}"/>
    <cellStyle name="Table Units" xfId="502" xr:uid="{2693323C-C582-439D-BA15-12728FF94B2B}"/>
    <cellStyle name="Table_Header" xfId="503" xr:uid="{01D849DB-316C-4765-86A9-6A84D8310935}"/>
    <cellStyle name="Text" xfId="504" xr:uid="{A2BF9921-982D-478F-B52B-A3F2F0A952C1}"/>
    <cellStyle name="Text 1" xfId="505" xr:uid="{AB3A8281-6334-415E-B237-804D40FA45AE}"/>
    <cellStyle name="Text Head 1" xfId="506" xr:uid="{6453D76A-7E31-4F54-9863-72A3924A2A63}"/>
    <cellStyle name="Title Row" xfId="507" xr:uid="{13DD4E28-2917-40E9-826B-1CAC47DC83D1}"/>
    <cellStyle name="tons" xfId="508" xr:uid="{1360785F-5D56-4EE0-945E-D6441474A089}"/>
    <cellStyle name="Total" xfId="509" builtinId="25" customBuiltin="1"/>
    <cellStyle name="Total 1" xfId="510" xr:uid="{714EF245-7256-497B-B1ED-E8DDD5397E1D}"/>
    <cellStyle name="Totals" xfId="511" xr:uid="{B3CAFD8C-493C-4CB8-B41B-AFB7E4B5DF1B}"/>
    <cellStyle name="Underline_Single" xfId="512" xr:uid="{71FECC22-5B81-4A97-AB72-9A14A3FA1153}"/>
    <cellStyle name="Unprot" xfId="513" xr:uid="{250FA448-9B71-4817-9933-F333B325E855}"/>
    <cellStyle name="Unprot$" xfId="514" xr:uid="{78222181-3624-4494-B5AB-1F118667F6BC}"/>
    <cellStyle name="Unprot_CurrencySKorea" xfId="515" xr:uid="{B1DA0F6C-526A-4984-9D3D-028059145773}"/>
    <cellStyle name="Unprotect" xfId="516" xr:uid="{6EF623EF-6CA5-4C5B-B42B-BB283544E5D5}"/>
    <cellStyle name="UNPROTECTED" xfId="517" xr:uid="{46CB8246-D5FB-4138-950D-3972C7CBB33A}"/>
    <cellStyle name="Währung [0]_Compiling Utility Macros" xfId="518" xr:uid="{BAFF2CB0-899B-4A0C-8782-068DA68CBCFD}"/>
    <cellStyle name="Währung_Compiling Utility Macros" xfId="519" xr:uid="{48BBE524-0853-4D9C-8226-CD8D11F062DB}"/>
    <cellStyle name="Warning" xfId="520" xr:uid="{FB5B755B-27AE-483D-8514-665393511E5D}"/>
    <cellStyle name="x" xfId="521" xr:uid="{6B38DD0B-9296-4E9F-A8B3-49DA644BA3C2}"/>
    <cellStyle name="year" xfId="522" xr:uid="{BAD9816A-05CE-4C5B-81C8-EFA85E5BD43E}"/>
    <cellStyle name="YEARS" xfId="523" xr:uid="{6F7F0DA7-81F4-4F26-AA73-174E74DF69D4}"/>
  </cellStyles>
  <dxfs count="0"/>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E347F4-BF96-4BDC-8A61-94E870AFD255}">
  <sheetPr>
    <tabColor rgb="FF92D050"/>
  </sheetPr>
  <dimension ref="A1:K21"/>
  <sheetViews>
    <sheetView tabSelected="1" zoomScaleNormal="100" zoomScaleSheetLayoutView="100" workbookViewId="0"/>
  </sheetViews>
  <sheetFormatPr defaultRowHeight="15"/>
  <cols>
    <col min="1" max="1" width="16" customWidth="1"/>
  </cols>
  <sheetData>
    <row r="1" spans="1:11" ht="15.75">
      <c r="A1" s="883" t="s">
        <v>670</v>
      </c>
      <c r="B1" s="2"/>
      <c r="C1" s="3"/>
      <c r="D1" s="2"/>
      <c r="E1" s="2"/>
      <c r="F1" s="2"/>
      <c r="G1" s="2"/>
      <c r="H1" s="5"/>
      <c r="I1" s="5"/>
      <c r="J1" s="5"/>
      <c r="K1" s="5"/>
    </row>
    <row r="2" spans="1:11">
      <c r="A2" s="1"/>
      <c r="B2" s="2"/>
      <c r="C2" s="3"/>
      <c r="D2" s="2"/>
      <c r="E2" s="2"/>
      <c r="F2" s="2"/>
      <c r="G2" s="2"/>
      <c r="H2" s="1"/>
      <c r="I2" s="5"/>
      <c r="J2" s="5"/>
      <c r="K2" s="5" t="s">
        <v>418</v>
      </c>
    </row>
    <row r="3" spans="1:11" ht="15.75">
      <c r="A3" s="936" t="s">
        <v>604</v>
      </c>
      <c r="B3" s="936"/>
      <c r="C3" s="936"/>
      <c r="D3" s="936"/>
      <c r="E3" s="936"/>
      <c r="F3" s="936"/>
      <c r="G3" s="2"/>
      <c r="H3" s="5"/>
      <c r="I3" s="50"/>
      <c r="J3" s="6"/>
      <c r="K3" s="6"/>
    </row>
    <row r="4" spans="1:11" ht="15.75">
      <c r="A4" s="929"/>
      <c r="B4" s="930"/>
      <c r="C4" s="931" t="str">
        <f>'Appendix A'!E6</f>
        <v xml:space="preserve">Rate Formula Template </v>
      </c>
      <c r="D4" s="932"/>
      <c r="E4" s="932"/>
      <c r="F4" s="932"/>
      <c r="G4" s="2"/>
      <c r="H4" s="1"/>
      <c r="I4" s="1"/>
      <c r="J4" s="1"/>
      <c r="K4" s="1"/>
    </row>
    <row r="5" spans="1:11" ht="15.75">
      <c r="A5" s="929"/>
      <c r="B5" s="31"/>
      <c r="C5" s="27" t="str">
        <f>'Appendix A'!E7</f>
        <v xml:space="preserve"> Utilizing FERC Form 1 Data</v>
      </c>
      <c r="D5" s="31"/>
      <c r="E5" s="31"/>
      <c r="F5" s="31"/>
      <c r="G5" s="392"/>
      <c r="H5" s="236"/>
      <c r="I5" s="392"/>
      <c r="J5" s="389"/>
      <c r="K5" s="390" t="str">
        <f>'Appendix A'!M7</f>
        <v>Projected Annual Transmission Revenue Requirement</v>
      </c>
    </row>
    <row r="6" spans="1:11">
      <c r="A6" s="2"/>
      <c r="B6" s="7"/>
      <c r="C6" s="7"/>
      <c r="D6" s="7"/>
      <c r="E6" s="7"/>
      <c r="F6" s="7"/>
      <c r="G6" s="7"/>
      <c r="H6" s="7"/>
      <c r="I6" s="236"/>
      <c r="J6" s="182"/>
      <c r="K6" s="180" t="str">
        <f>'Appendix A'!M8</f>
        <v>For the 12 months ended 5/31/XX</v>
      </c>
    </row>
    <row r="7" spans="1:11" ht="15.75">
      <c r="A7" s="929"/>
      <c r="B7" s="933"/>
      <c r="C7" s="928" t="str">
        <f>+'Appendix A'!D9</f>
        <v>HURLEY AVENUE PROJECT - SYSTEM DELIVERABILITY UPGRADE</v>
      </c>
      <c r="D7" s="933"/>
      <c r="E7" s="933"/>
      <c r="F7" s="933"/>
    </row>
    <row r="8" spans="1:11">
      <c r="A8" s="1"/>
      <c r="B8" s="1"/>
      <c r="C8" s="7"/>
    </row>
    <row r="9" spans="1:11">
      <c r="H9" s="922" t="s">
        <v>681</v>
      </c>
      <c r="I9" s="922"/>
      <c r="J9" s="922"/>
      <c r="K9" s="922"/>
    </row>
    <row r="10" spans="1:11">
      <c r="H10" s="922" t="s">
        <v>682</v>
      </c>
      <c r="I10" s="922"/>
      <c r="J10" s="922"/>
      <c r="K10" s="922"/>
    </row>
    <row r="12" spans="1:11">
      <c r="A12" t="s">
        <v>279</v>
      </c>
      <c r="C12" t="s">
        <v>589</v>
      </c>
    </row>
    <row r="13" spans="1:11">
      <c r="A13" t="s">
        <v>419</v>
      </c>
      <c r="C13" t="s">
        <v>594</v>
      </c>
    </row>
    <row r="14" spans="1:11">
      <c r="A14" t="s">
        <v>420</v>
      </c>
      <c r="C14" t="s">
        <v>591</v>
      </c>
    </row>
    <row r="15" spans="1:11">
      <c r="A15" t="s">
        <v>421</v>
      </c>
      <c r="C15" t="s">
        <v>592</v>
      </c>
    </row>
    <row r="16" spans="1:11">
      <c r="A16" t="s">
        <v>311</v>
      </c>
      <c r="C16" t="s">
        <v>593</v>
      </c>
    </row>
    <row r="17" spans="1:4">
      <c r="A17" t="s">
        <v>404</v>
      </c>
      <c r="C17" s="922" t="s">
        <v>679</v>
      </c>
      <c r="D17" s="922"/>
    </row>
    <row r="18" spans="1:4">
      <c r="A18" t="s">
        <v>659</v>
      </c>
      <c r="C18" t="s">
        <v>660</v>
      </c>
    </row>
    <row r="19" spans="1:4">
      <c r="A19" t="s">
        <v>216</v>
      </c>
      <c r="C19" t="s">
        <v>595</v>
      </c>
    </row>
    <row r="20" spans="1:4">
      <c r="A20" t="s">
        <v>422</v>
      </c>
      <c r="C20" t="s">
        <v>424</v>
      </c>
    </row>
    <row r="21" spans="1:4">
      <c r="A21" t="s">
        <v>423</v>
      </c>
      <c r="C21" t="s">
        <v>596</v>
      </c>
    </row>
  </sheetData>
  <mergeCells count="1">
    <mergeCell ref="A3:F3"/>
  </mergeCells>
  <pageMargins left="0.7" right="0.7" top="0.75" bottom="0.75" header="0.3" footer="0.3"/>
  <pageSetup scale="61" orientation="portrait" r:id="rId1"/>
  <headerFooter>
    <oddHeader>&amp;RCompliance Filing Attachment 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5F01C-9138-4153-A079-E2CF1E0A2348}">
  <sheetPr>
    <tabColor rgb="FF92D050"/>
    <pageSetUpPr fitToPage="1"/>
  </sheetPr>
  <dimension ref="A1:S28"/>
  <sheetViews>
    <sheetView topLeftCell="B1" zoomScale="80" zoomScaleNormal="80" workbookViewId="0">
      <selection activeCell="B1" sqref="B1:S1"/>
    </sheetView>
  </sheetViews>
  <sheetFormatPr defaultRowHeight="15"/>
  <cols>
    <col min="1" max="1" width="4.33203125" customWidth="1"/>
    <col min="2" max="2" width="29.44140625" customWidth="1"/>
    <col min="3" max="3" width="9.44140625" bestFit="1" customWidth="1"/>
    <col min="4" max="4" width="9.44140625" customWidth="1"/>
    <col min="5" max="5" width="13.5546875" customWidth="1"/>
    <col min="6" max="6" width="9.44140625" customWidth="1"/>
    <col min="7" max="7" width="10.21875" bestFit="1" customWidth="1"/>
    <col min="8" max="8" width="14.21875" customWidth="1"/>
    <col min="9" max="9" width="12.5546875" customWidth="1"/>
    <col min="10" max="10" width="12.77734375" customWidth="1"/>
    <col min="11" max="13" width="11.44140625" customWidth="1"/>
    <col min="14" max="14" width="15.109375" customWidth="1"/>
    <col min="15" max="15" width="11" bestFit="1" customWidth="1"/>
    <col min="16" max="16" width="11.5546875" customWidth="1"/>
    <col min="17" max="17" width="8.77734375" customWidth="1"/>
    <col min="18" max="18" width="11.44140625" customWidth="1"/>
    <col min="19" max="19" width="16.88671875" customWidth="1"/>
  </cols>
  <sheetData>
    <row r="1" spans="1:19" ht="18" customHeight="1">
      <c r="B1" s="1001" t="s">
        <v>604</v>
      </c>
      <c r="C1" s="1001"/>
      <c r="D1" s="1001"/>
      <c r="E1" s="1001"/>
      <c r="F1" s="1001"/>
      <c r="G1" s="1001"/>
      <c r="H1" s="1001"/>
      <c r="I1" s="1001"/>
      <c r="J1" s="1001"/>
      <c r="K1" s="1001"/>
      <c r="L1" s="1001"/>
      <c r="M1" s="1001"/>
      <c r="N1" s="1001"/>
      <c r="O1" s="1001"/>
      <c r="P1" s="1001"/>
      <c r="Q1" s="1001"/>
      <c r="R1" s="1001"/>
      <c r="S1" s="1001"/>
    </row>
    <row r="2" spans="1:19" ht="18" customHeight="1">
      <c r="B2" s="1001" t="str">
        <f>+Index!C7</f>
        <v>HURLEY AVENUE PROJECT - SYSTEM DELIVERABILITY UPGRADE</v>
      </c>
      <c r="C2" s="1001"/>
      <c r="D2" s="1001"/>
      <c r="E2" s="1001"/>
      <c r="F2" s="1001"/>
      <c r="G2" s="1001"/>
      <c r="H2" s="1001"/>
      <c r="I2" s="1001"/>
      <c r="J2" s="1001"/>
      <c r="K2" s="1001"/>
      <c r="L2" s="1001"/>
      <c r="M2" s="1001"/>
      <c r="N2" s="1001"/>
      <c r="O2" s="1001"/>
      <c r="P2" s="1001"/>
      <c r="Q2" s="1001"/>
      <c r="R2" s="1001"/>
      <c r="S2" s="1001"/>
    </row>
    <row r="3" spans="1:19" ht="15.75">
      <c r="B3" s="1002" t="s">
        <v>629</v>
      </c>
      <c r="C3" s="1002"/>
      <c r="D3" s="1002"/>
      <c r="E3" s="1002"/>
      <c r="F3" s="1002"/>
      <c r="G3" s="1002"/>
      <c r="H3" s="1002"/>
      <c r="I3" s="1002"/>
      <c r="J3" s="1002"/>
      <c r="K3" s="1002"/>
      <c r="L3" s="1002"/>
      <c r="M3" s="1002"/>
      <c r="N3" s="1002"/>
      <c r="O3" s="1002"/>
      <c r="P3" s="1002"/>
      <c r="Q3" s="1002"/>
      <c r="R3" s="1002"/>
      <c r="S3" s="1002"/>
    </row>
    <row r="4" spans="1:19" ht="18">
      <c r="B4" s="802"/>
      <c r="C4" s="791"/>
      <c r="D4" s="791"/>
      <c r="E4" s="791"/>
      <c r="F4" s="791"/>
      <c r="G4" s="791"/>
      <c r="H4" s="801"/>
      <c r="I4" s="468"/>
      <c r="J4" s="791"/>
      <c r="K4" s="791"/>
      <c r="L4" s="791"/>
      <c r="M4" s="791"/>
      <c r="N4" s="791"/>
      <c r="O4" s="791"/>
      <c r="P4" s="791"/>
      <c r="Q4" s="791"/>
      <c r="R4" s="791"/>
    </row>
    <row r="5" spans="1:19" ht="18">
      <c r="B5" s="794" t="s">
        <v>606</v>
      </c>
      <c r="C5" s="791"/>
      <c r="D5" s="791"/>
      <c r="E5" s="791"/>
      <c r="F5" s="791"/>
      <c r="G5" s="791"/>
      <c r="H5" s="801"/>
      <c r="I5" s="468"/>
      <c r="J5" s="791"/>
      <c r="K5" s="791"/>
      <c r="L5" s="791"/>
      <c r="M5" s="791"/>
      <c r="N5" s="791"/>
      <c r="O5" s="791"/>
      <c r="P5" s="791"/>
      <c r="Q5" s="791"/>
      <c r="R5" s="791"/>
    </row>
    <row r="6" spans="1:19">
      <c r="B6" s="803" t="s">
        <v>607</v>
      </c>
      <c r="C6" s="804"/>
      <c r="D6" s="804"/>
      <c r="E6" s="804"/>
      <c r="F6" s="804"/>
      <c r="G6" s="804"/>
      <c r="H6" s="794"/>
      <c r="I6" s="794"/>
      <c r="J6" s="804"/>
      <c r="K6" s="804"/>
      <c r="L6" s="804"/>
      <c r="M6" s="804"/>
      <c r="N6" s="804"/>
      <c r="O6" s="804"/>
      <c r="P6" s="804"/>
      <c r="Q6" s="804"/>
      <c r="R6" s="804"/>
    </row>
    <row r="7" spans="1:19">
      <c r="B7" s="805" t="s">
        <v>608</v>
      </c>
      <c r="C7" s="804"/>
      <c r="D7" s="804"/>
      <c r="E7" s="804"/>
      <c r="F7" s="804"/>
      <c r="G7" s="804"/>
      <c r="H7" s="804"/>
      <c r="I7" s="804"/>
      <c r="J7" s="804"/>
      <c r="K7" s="804"/>
      <c r="L7" s="804"/>
      <c r="M7" s="804"/>
      <c r="N7" s="804"/>
      <c r="O7" s="804"/>
      <c r="P7" s="804"/>
      <c r="Q7" s="804"/>
      <c r="R7" s="804"/>
    </row>
    <row r="8" spans="1:19" ht="15.75">
      <c r="B8" s="791" t="s">
        <v>293</v>
      </c>
      <c r="C8" s="791" t="s">
        <v>294</v>
      </c>
      <c r="D8" s="791" t="s">
        <v>304</v>
      </c>
      <c r="E8" s="791" t="s">
        <v>306</v>
      </c>
      <c r="F8" s="791" t="s">
        <v>307</v>
      </c>
      <c r="G8" s="791" t="s">
        <v>308</v>
      </c>
      <c r="H8" s="791" t="s">
        <v>309</v>
      </c>
      <c r="I8" s="791" t="s">
        <v>310</v>
      </c>
      <c r="J8" s="791" t="s">
        <v>316</v>
      </c>
      <c r="K8" s="791" t="s">
        <v>317</v>
      </c>
      <c r="L8" s="791" t="s">
        <v>328</v>
      </c>
      <c r="M8" s="791" t="s">
        <v>329</v>
      </c>
      <c r="N8" s="791" t="s">
        <v>330</v>
      </c>
      <c r="O8" s="791" t="s">
        <v>331</v>
      </c>
      <c r="P8" s="791" t="s">
        <v>332</v>
      </c>
      <c r="Q8" s="791" t="s">
        <v>333</v>
      </c>
      <c r="R8" s="791" t="s">
        <v>334</v>
      </c>
      <c r="S8" s="791" t="s">
        <v>609</v>
      </c>
    </row>
    <row r="9" spans="1:19" ht="75">
      <c r="B9" s="806" t="s">
        <v>610</v>
      </c>
      <c r="C9" s="806" t="s">
        <v>125</v>
      </c>
      <c r="D9" s="806" t="s">
        <v>611</v>
      </c>
      <c r="E9" s="806" t="s">
        <v>612</v>
      </c>
      <c r="F9" s="806" t="s">
        <v>613</v>
      </c>
      <c r="G9" s="806" t="s">
        <v>614</v>
      </c>
      <c r="H9" s="806" t="s">
        <v>615</v>
      </c>
      <c r="I9" s="806" t="s">
        <v>38</v>
      </c>
      <c r="J9" s="806" t="s">
        <v>617</v>
      </c>
      <c r="K9" s="806" t="s">
        <v>618</v>
      </c>
      <c r="L9" s="806" t="s">
        <v>619</v>
      </c>
      <c r="M9" s="806" t="s">
        <v>620</v>
      </c>
      <c r="N9" s="806" t="s">
        <v>621</v>
      </c>
      <c r="O9" s="806" t="s">
        <v>622</v>
      </c>
      <c r="P9" s="806" t="s">
        <v>623</v>
      </c>
      <c r="Q9" s="806" t="s">
        <v>624</v>
      </c>
      <c r="R9" s="806" t="s">
        <v>625</v>
      </c>
      <c r="S9" s="806" t="s">
        <v>626</v>
      </c>
    </row>
    <row r="10" spans="1:19">
      <c r="B10" s="805"/>
      <c r="C10" s="807"/>
      <c r="D10" s="807"/>
      <c r="E10" s="807"/>
      <c r="F10" s="807"/>
      <c r="G10" s="807"/>
      <c r="H10" s="807"/>
      <c r="I10" s="807"/>
      <c r="J10" s="804"/>
      <c r="K10" s="804"/>
      <c r="L10" s="804"/>
      <c r="M10" s="804"/>
      <c r="N10" s="804"/>
      <c r="O10" s="804"/>
      <c r="P10" s="804"/>
      <c r="Q10" s="804"/>
      <c r="R10" s="808"/>
      <c r="S10" s="808"/>
    </row>
    <row r="11" spans="1:19" ht="30">
      <c r="A11" s="860">
        <v>1</v>
      </c>
      <c r="B11" s="863" t="s">
        <v>665</v>
      </c>
      <c r="C11" s="809">
        <v>2020</v>
      </c>
      <c r="D11" s="810"/>
      <c r="E11" s="810"/>
      <c r="F11" s="810"/>
      <c r="G11" s="811">
        <f>365/365</f>
        <v>1</v>
      </c>
      <c r="H11" s="812">
        <f>+J11+N11+R11</f>
        <v>0</v>
      </c>
      <c r="I11" s="813">
        <v>0</v>
      </c>
      <c r="J11" s="814">
        <f>G11*I11</f>
        <v>0</v>
      </c>
      <c r="K11" s="815"/>
      <c r="L11" s="816"/>
      <c r="M11" s="817"/>
      <c r="N11" s="814"/>
      <c r="O11" s="815"/>
      <c r="P11" s="818"/>
      <c r="Q11" s="817"/>
      <c r="R11" s="814"/>
      <c r="S11" s="102">
        <f>+J11</f>
        <v>0</v>
      </c>
    </row>
    <row r="12" spans="1:19">
      <c r="A12" s="860">
        <f>+A11+1</f>
        <v>2</v>
      </c>
      <c r="B12" s="804" t="s">
        <v>139</v>
      </c>
      <c r="C12" s="890">
        <f>+$C$11</f>
        <v>2020</v>
      </c>
      <c r="D12" s="819">
        <v>30</v>
      </c>
      <c r="E12" s="820">
        <f>E13+D13</f>
        <v>336</v>
      </c>
      <c r="F12" s="820">
        <f>SUM(D12:D23)</f>
        <v>365</v>
      </c>
      <c r="G12" s="811">
        <f>+E12/F12</f>
        <v>0.92054794520547945</v>
      </c>
      <c r="H12" s="813">
        <v>0</v>
      </c>
      <c r="I12" s="813">
        <v>0</v>
      </c>
      <c r="J12" s="814">
        <f>G12*I12</f>
        <v>0</v>
      </c>
      <c r="K12" s="813">
        <v>0</v>
      </c>
      <c r="L12" s="816">
        <f>+'Appendix A'!$H$82</f>
        <v>0</v>
      </c>
      <c r="M12" s="817">
        <f t="shared" ref="M12:M23" si="0">+K12*L12</f>
        <v>0</v>
      </c>
      <c r="N12" s="814">
        <f t="shared" ref="N12:N23" si="1">+G12*M12</f>
        <v>0</v>
      </c>
      <c r="O12" s="813">
        <f>+'Appendix A'!J232</f>
        <v>0</v>
      </c>
      <c r="P12" s="818">
        <f>+'Appendix A'!$J$232</f>
        <v>0</v>
      </c>
      <c r="Q12" s="817">
        <f t="shared" ref="Q12:Q23" si="2">+O12*P12</f>
        <v>0</v>
      </c>
      <c r="R12" s="814">
        <f t="shared" ref="R12:R23" si="3">+G12*Q12</f>
        <v>0</v>
      </c>
      <c r="S12" s="102">
        <f t="shared" ref="S12:S24" si="4">+J12+N12+R12</f>
        <v>0</v>
      </c>
    </row>
    <row r="13" spans="1:19">
      <c r="A13" s="860">
        <f>+A12+1</f>
        <v>3</v>
      </c>
      <c r="B13" s="804" t="s">
        <v>138</v>
      </c>
      <c r="C13" s="890">
        <f t="shared" ref="C13:C18" si="5">+$C$11</f>
        <v>2020</v>
      </c>
      <c r="D13" s="864">
        <v>31</v>
      </c>
      <c r="E13" s="820">
        <f t="shared" ref="E13:E20" si="6">E14+D14</f>
        <v>305</v>
      </c>
      <c r="F13" s="820">
        <f>F12</f>
        <v>365</v>
      </c>
      <c r="G13" s="811">
        <f t="shared" ref="G13:G23" si="7">+E13/F13</f>
        <v>0.83561643835616439</v>
      </c>
      <c r="H13" s="813">
        <v>0</v>
      </c>
      <c r="I13" s="813">
        <v>0</v>
      </c>
      <c r="J13" s="814">
        <f t="shared" ref="J13:J23" si="8">G13*I13</f>
        <v>0</v>
      </c>
      <c r="K13" s="813">
        <v>0</v>
      </c>
      <c r="L13" s="816">
        <f>+'Appendix A'!$H$82</f>
        <v>0</v>
      </c>
      <c r="M13" s="817">
        <f t="shared" si="0"/>
        <v>0</v>
      </c>
      <c r="N13" s="814">
        <f t="shared" si="1"/>
        <v>0</v>
      </c>
      <c r="O13" s="813">
        <v>0</v>
      </c>
      <c r="P13" s="818">
        <f>+'Appendix A'!$J$232</f>
        <v>0</v>
      </c>
      <c r="Q13" s="817">
        <f t="shared" si="2"/>
        <v>0</v>
      </c>
      <c r="R13" s="814">
        <f t="shared" si="3"/>
        <v>0</v>
      </c>
      <c r="S13" s="102">
        <f t="shared" si="4"/>
        <v>0</v>
      </c>
    </row>
    <row r="14" spans="1:19">
      <c r="A14" s="860">
        <f>+A13+1</f>
        <v>4</v>
      </c>
      <c r="B14" s="804" t="s">
        <v>137</v>
      </c>
      <c r="C14" s="890">
        <f t="shared" si="5"/>
        <v>2020</v>
      </c>
      <c r="D14" s="819">
        <v>31</v>
      </c>
      <c r="E14" s="820">
        <f t="shared" si="6"/>
        <v>274</v>
      </c>
      <c r="F14" s="820">
        <f t="shared" ref="F14:F23" si="9">F13</f>
        <v>365</v>
      </c>
      <c r="G14" s="811">
        <f t="shared" si="7"/>
        <v>0.75068493150684934</v>
      </c>
      <c r="H14" s="813">
        <v>0</v>
      </c>
      <c r="I14" s="813">
        <v>0</v>
      </c>
      <c r="J14" s="814">
        <f t="shared" si="8"/>
        <v>0</v>
      </c>
      <c r="K14" s="813">
        <v>0</v>
      </c>
      <c r="L14" s="816">
        <f>+'Appendix A'!$H$82</f>
        <v>0</v>
      </c>
      <c r="M14" s="817">
        <f t="shared" si="0"/>
        <v>0</v>
      </c>
      <c r="N14" s="814">
        <f t="shared" si="1"/>
        <v>0</v>
      </c>
      <c r="O14" s="813">
        <v>0</v>
      </c>
      <c r="P14" s="818">
        <f>+'Appendix A'!$J$232</f>
        <v>0</v>
      </c>
      <c r="Q14" s="817">
        <f t="shared" si="2"/>
        <v>0</v>
      </c>
      <c r="R14" s="814">
        <f t="shared" si="3"/>
        <v>0</v>
      </c>
      <c r="S14" s="102">
        <f t="shared" si="4"/>
        <v>0</v>
      </c>
    </row>
    <row r="15" spans="1:19">
      <c r="A15" s="860">
        <f t="shared" ref="A15:A24" si="10">+A14+1</f>
        <v>5</v>
      </c>
      <c r="B15" s="804" t="s">
        <v>136</v>
      </c>
      <c r="C15" s="890">
        <f t="shared" si="5"/>
        <v>2020</v>
      </c>
      <c r="D15" s="819">
        <v>30</v>
      </c>
      <c r="E15" s="820">
        <f t="shared" si="6"/>
        <v>244</v>
      </c>
      <c r="F15" s="820">
        <f t="shared" si="9"/>
        <v>365</v>
      </c>
      <c r="G15" s="811">
        <f t="shared" si="7"/>
        <v>0.66849315068493154</v>
      </c>
      <c r="H15" s="813">
        <v>0</v>
      </c>
      <c r="I15" s="813">
        <v>0</v>
      </c>
      <c r="J15" s="814">
        <f t="shared" si="8"/>
        <v>0</v>
      </c>
      <c r="K15" s="813">
        <v>0</v>
      </c>
      <c r="L15" s="816">
        <f>+'Appendix A'!$H$82</f>
        <v>0</v>
      </c>
      <c r="M15" s="817">
        <f t="shared" si="0"/>
        <v>0</v>
      </c>
      <c r="N15" s="814">
        <f t="shared" si="1"/>
        <v>0</v>
      </c>
      <c r="O15" s="813">
        <v>0</v>
      </c>
      <c r="P15" s="818">
        <f>+'Appendix A'!$J$232</f>
        <v>0</v>
      </c>
      <c r="Q15" s="817">
        <f t="shared" si="2"/>
        <v>0</v>
      </c>
      <c r="R15" s="814">
        <f t="shared" si="3"/>
        <v>0</v>
      </c>
      <c r="S15" s="102">
        <f t="shared" si="4"/>
        <v>0</v>
      </c>
    </row>
    <row r="16" spans="1:19">
      <c r="A16" s="860">
        <f t="shared" si="10"/>
        <v>6</v>
      </c>
      <c r="B16" s="804" t="s">
        <v>148</v>
      </c>
      <c r="C16" s="890">
        <f t="shared" si="5"/>
        <v>2020</v>
      </c>
      <c r="D16" s="819">
        <v>31</v>
      </c>
      <c r="E16" s="820">
        <f t="shared" si="6"/>
        <v>213</v>
      </c>
      <c r="F16" s="820">
        <f t="shared" si="9"/>
        <v>365</v>
      </c>
      <c r="G16" s="811">
        <f t="shared" si="7"/>
        <v>0.58356164383561648</v>
      </c>
      <c r="H16" s="813">
        <v>0</v>
      </c>
      <c r="I16" s="813">
        <v>0</v>
      </c>
      <c r="J16" s="814">
        <f t="shared" si="8"/>
        <v>0</v>
      </c>
      <c r="K16" s="813">
        <v>0</v>
      </c>
      <c r="L16" s="816">
        <f>+'Appendix A'!$H$82</f>
        <v>0</v>
      </c>
      <c r="M16" s="817">
        <f t="shared" si="0"/>
        <v>0</v>
      </c>
      <c r="N16" s="814">
        <f t="shared" si="1"/>
        <v>0</v>
      </c>
      <c r="O16" s="813">
        <v>0</v>
      </c>
      <c r="P16" s="818">
        <f>+'Appendix A'!$J$232</f>
        <v>0</v>
      </c>
      <c r="Q16" s="817">
        <f t="shared" si="2"/>
        <v>0</v>
      </c>
      <c r="R16" s="814">
        <f t="shared" si="3"/>
        <v>0</v>
      </c>
      <c r="S16" s="102">
        <f t="shared" si="4"/>
        <v>0</v>
      </c>
    </row>
    <row r="17" spans="1:19">
      <c r="A17" s="860">
        <f t="shared" si="10"/>
        <v>7</v>
      </c>
      <c r="B17" s="804" t="s">
        <v>134</v>
      </c>
      <c r="C17" s="890">
        <f t="shared" si="5"/>
        <v>2020</v>
      </c>
      <c r="D17" s="819">
        <v>30</v>
      </c>
      <c r="E17" s="820">
        <f t="shared" si="6"/>
        <v>183</v>
      </c>
      <c r="F17" s="820">
        <f t="shared" si="9"/>
        <v>365</v>
      </c>
      <c r="G17" s="811">
        <f t="shared" si="7"/>
        <v>0.50136986301369868</v>
      </c>
      <c r="H17" s="813">
        <v>0</v>
      </c>
      <c r="I17" s="813">
        <v>0</v>
      </c>
      <c r="J17" s="814">
        <f t="shared" si="8"/>
        <v>0</v>
      </c>
      <c r="K17" s="813">
        <v>0</v>
      </c>
      <c r="L17" s="816">
        <f>+'Appendix A'!$H$82</f>
        <v>0</v>
      </c>
      <c r="M17" s="817">
        <f t="shared" si="0"/>
        <v>0</v>
      </c>
      <c r="N17" s="814">
        <f t="shared" si="1"/>
        <v>0</v>
      </c>
      <c r="O17" s="813">
        <v>0</v>
      </c>
      <c r="P17" s="818">
        <f>+'Appendix A'!$J$232</f>
        <v>0</v>
      </c>
      <c r="Q17" s="817">
        <f t="shared" si="2"/>
        <v>0</v>
      </c>
      <c r="R17" s="814">
        <f t="shared" si="3"/>
        <v>0</v>
      </c>
      <c r="S17" s="102">
        <f t="shared" si="4"/>
        <v>0</v>
      </c>
    </row>
    <row r="18" spans="1:19">
      <c r="A18" s="860">
        <f t="shared" si="10"/>
        <v>8</v>
      </c>
      <c r="B18" s="804" t="s">
        <v>132</v>
      </c>
      <c r="C18" s="890">
        <f t="shared" si="5"/>
        <v>2020</v>
      </c>
      <c r="D18" s="819">
        <v>31</v>
      </c>
      <c r="E18" s="820">
        <f t="shared" si="6"/>
        <v>152</v>
      </c>
      <c r="F18" s="820">
        <f t="shared" si="9"/>
        <v>365</v>
      </c>
      <c r="G18" s="811">
        <f t="shared" si="7"/>
        <v>0.41643835616438357</v>
      </c>
      <c r="H18" s="813">
        <v>0</v>
      </c>
      <c r="I18" s="813">
        <v>0</v>
      </c>
      <c r="J18" s="814">
        <f t="shared" si="8"/>
        <v>0</v>
      </c>
      <c r="K18" s="813">
        <v>0</v>
      </c>
      <c r="L18" s="816">
        <f>+'Appendix A'!$H$82</f>
        <v>0</v>
      </c>
      <c r="M18" s="817">
        <f t="shared" si="0"/>
        <v>0</v>
      </c>
      <c r="N18" s="814">
        <f t="shared" si="1"/>
        <v>0</v>
      </c>
      <c r="O18" s="813">
        <v>0</v>
      </c>
      <c r="P18" s="818">
        <f>+'Appendix A'!$J$232</f>
        <v>0</v>
      </c>
      <c r="Q18" s="817">
        <f t="shared" si="2"/>
        <v>0</v>
      </c>
      <c r="R18" s="814">
        <f t="shared" si="3"/>
        <v>0</v>
      </c>
      <c r="S18" s="102">
        <f t="shared" si="4"/>
        <v>0</v>
      </c>
    </row>
    <row r="19" spans="1:19">
      <c r="A19" s="860">
        <f t="shared" si="10"/>
        <v>9</v>
      </c>
      <c r="B19" s="804" t="s">
        <v>142</v>
      </c>
      <c r="C19" s="890">
        <f>+C18+1</f>
        <v>2021</v>
      </c>
      <c r="D19" s="819">
        <v>31</v>
      </c>
      <c r="E19" s="820">
        <f t="shared" si="6"/>
        <v>121</v>
      </c>
      <c r="F19" s="820">
        <f t="shared" si="9"/>
        <v>365</v>
      </c>
      <c r="G19" s="811">
        <f t="shared" si="7"/>
        <v>0.33150684931506852</v>
      </c>
      <c r="H19" s="813">
        <v>0</v>
      </c>
      <c r="I19" s="813">
        <v>0</v>
      </c>
      <c r="J19" s="814">
        <f t="shared" si="8"/>
        <v>0</v>
      </c>
      <c r="K19" s="813">
        <v>0</v>
      </c>
      <c r="L19" s="816">
        <f>+'Appendix A'!$H$82</f>
        <v>0</v>
      </c>
      <c r="M19" s="817">
        <f t="shared" si="0"/>
        <v>0</v>
      </c>
      <c r="N19" s="814">
        <f t="shared" si="1"/>
        <v>0</v>
      </c>
      <c r="O19" s="813">
        <v>0</v>
      </c>
      <c r="P19" s="818">
        <f>+'Appendix A'!$J$232</f>
        <v>0</v>
      </c>
      <c r="Q19" s="817">
        <f t="shared" si="2"/>
        <v>0</v>
      </c>
      <c r="R19" s="814">
        <f t="shared" si="3"/>
        <v>0</v>
      </c>
      <c r="S19" s="102">
        <f t="shared" si="4"/>
        <v>0</v>
      </c>
    </row>
    <row r="20" spans="1:19">
      <c r="A20" s="860">
        <f t="shared" si="10"/>
        <v>10</v>
      </c>
      <c r="B20" s="804" t="s">
        <v>141</v>
      </c>
      <c r="C20" s="890">
        <f>+$C$19</f>
        <v>2021</v>
      </c>
      <c r="D20" s="821">
        <v>28</v>
      </c>
      <c r="E20" s="820">
        <f t="shared" si="6"/>
        <v>93</v>
      </c>
      <c r="F20" s="820">
        <f t="shared" si="9"/>
        <v>365</v>
      </c>
      <c r="G20" s="811">
        <f t="shared" si="7"/>
        <v>0.25479452054794521</v>
      </c>
      <c r="H20" s="813">
        <v>0</v>
      </c>
      <c r="I20" s="813">
        <v>0</v>
      </c>
      <c r="J20" s="814">
        <f t="shared" si="8"/>
        <v>0</v>
      </c>
      <c r="K20" s="813">
        <v>0</v>
      </c>
      <c r="L20" s="816">
        <f>+'Appendix A'!$H$82</f>
        <v>0</v>
      </c>
      <c r="M20" s="817">
        <f t="shared" si="0"/>
        <v>0</v>
      </c>
      <c r="N20" s="814">
        <f t="shared" si="1"/>
        <v>0</v>
      </c>
      <c r="O20" s="813">
        <v>0</v>
      </c>
      <c r="P20" s="818">
        <f>+'Appendix A'!$J$232</f>
        <v>0</v>
      </c>
      <c r="Q20" s="817">
        <f t="shared" si="2"/>
        <v>0</v>
      </c>
      <c r="R20" s="814">
        <f t="shared" si="3"/>
        <v>0</v>
      </c>
      <c r="S20" s="102">
        <f t="shared" si="4"/>
        <v>0</v>
      </c>
    </row>
    <row r="21" spans="1:19">
      <c r="A21" s="860">
        <f t="shared" si="10"/>
        <v>11</v>
      </c>
      <c r="B21" s="804" t="s">
        <v>140</v>
      </c>
      <c r="C21" s="890">
        <f t="shared" ref="C21:C23" si="11">+$C$19</f>
        <v>2021</v>
      </c>
      <c r="D21" s="819">
        <v>31</v>
      </c>
      <c r="E21" s="820">
        <f>E22+D22</f>
        <v>62</v>
      </c>
      <c r="F21" s="820">
        <f t="shared" si="9"/>
        <v>365</v>
      </c>
      <c r="G21" s="811">
        <f t="shared" si="7"/>
        <v>0.16986301369863013</v>
      </c>
      <c r="H21" s="813">
        <v>0</v>
      </c>
      <c r="I21" s="813">
        <v>0</v>
      </c>
      <c r="J21" s="814">
        <f t="shared" si="8"/>
        <v>0</v>
      </c>
      <c r="K21" s="813">
        <v>0</v>
      </c>
      <c r="L21" s="816">
        <f>+'Appendix A'!$H$82</f>
        <v>0</v>
      </c>
      <c r="M21" s="817">
        <f t="shared" si="0"/>
        <v>0</v>
      </c>
      <c r="N21" s="814">
        <f t="shared" si="1"/>
        <v>0</v>
      </c>
      <c r="O21" s="813">
        <v>0</v>
      </c>
      <c r="P21" s="818">
        <f>+'Appendix A'!$J$232</f>
        <v>0</v>
      </c>
      <c r="Q21" s="817">
        <f t="shared" si="2"/>
        <v>0</v>
      </c>
      <c r="R21" s="814">
        <f t="shared" si="3"/>
        <v>0</v>
      </c>
      <c r="S21" s="102">
        <f t="shared" si="4"/>
        <v>0</v>
      </c>
    </row>
    <row r="22" spans="1:19">
      <c r="A22" s="860">
        <f t="shared" si="10"/>
        <v>12</v>
      </c>
      <c r="B22" s="804" t="s">
        <v>124</v>
      </c>
      <c r="C22" s="890">
        <f t="shared" si="11"/>
        <v>2021</v>
      </c>
      <c r="D22" s="819">
        <v>30</v>
      </c>
      <c r="E22" s="820">
        <f>E23+D23</f>
        <v>32</v>
      </c>
      <c r="F22" s="820">
        <f t="shared" si="9"/>
        <v>365</v>
      </c>
      <c r="G22" s="811">
        <f t="shared" si="7"/>
        <v>8.7671232876712329E-2</v>
      </c>
      <c r="H22" s="813">
        <v>0</v>
      </c>
      <c r="I22" s="813">
        <v>0</v>
      </c>
      <c r="J22" s="814">
        <f t="shared" si="8"/>
        <v>0</v>
      </c>
      <c r="K22" s="813">
        <v>0</v>
      </c>
      <c r="L22" s="816">
        <f>+'Appendix A'!$H$82</f>
        <v>0</v>
      </c>
      <c r="M22" s="817">
        <f t="shared" si="0"/>
        <v>0</v>
      </c>
      <c r="N22" s="814">
        <f t="shared" si="1"/>
        <v>0</v>
      </c>
      <c r="O22" s="813">
        <v>0</v>
      </c>
      <c r="P22" s="818">
        <f>+'Appendix A'!$J$232</f>
        <v>0</v>
      </c>
      <c r="Q22" s="817">
        <f t="shared" si="2"/>
        <v>0</v>
      </c>
      <c r="R22" s="814">
        <f t="shared" si="3"/>
        <v>0</v>
      </c>
      <c r="S22" s="102">
        <f t="shared" si="4"/>
        <v>0</v>
      </c>
    </row>
    <row r="23" spans="1:19" ht="17.25">
      <c r="A23" s="860">
        <f t="shared" si="10"/>
        <v>13</v>
      </c>
      <c r="B23" s="804" t="s">
        <v>123</v>
      </c>
      <c r="C23" s="890">
        <f t="shared" si="11"/>
        <v>2021</v>
      </c>
      <c r="D23" s="822">
        <v>31</v>
      </c>
      <c r="E23" s="820">
        <v>1</v>
      </c>
      <c r="F23" s="820">
        <f t="shared" si="9"/>
        <v>365</v>
      </c>
      <c r="G23" s="811">
        <f t="shared" si="7"/>
        <v>2.7397260273972603E-3</v>
      </c>
      <c r="H23" s="823">
        <v>0</v>
      </c>
      <c r="I23" s="823">
        <v>0</v>
      </c>
      <c r="J23" s="824">
        <f t="shared" si="8"/>
        <v>0</v>
      </c>
      <c r="K23" s="825">
        <v>0</v>
      </c>
      <c r="L23" s="816">
        <f>+'Appendix A'!$H$82</f>
        <v>0</v>
      </c>
      <c r="M23" s="817">
        <f t="shared" si="0"/>
        <v>0</v>
      </c>
      <c r="N23" s="826">
        <f t="shared" si="1"/>
        <v>0</v>
      </c>
      <c r="O23" s="823">
        <v>0</v>
      </c>
      <c r="P23" s="818">
        <f>+'Appendix A'!$J$232</f>
        <v>0</v>
      </c>
      <c r="Q23" s="817">
        <f t="shared" si="2"/>
        <v>0</v>
      </c>
      <c r="R23" s="826">
        <f t="shared" si="3"/>
        <v>0</v>
      </c>
      <c r="S23" s="827">
        <f t="shared" si="4"/>
        <v>0</v>
      </c>
    </row>
    <row r="24" spans="1:19">
      <c r="A24" s="860">
        <f t="shared" si="10"/>
        <v>14</v>
      </c>
      <c r="B24" s="828" t="s">
        <v>627</v>
      </c>
      <c r="C24" s="804"/>
      <c r="D24" s="829">
        <f>+SUM(D12:D23)</f>
        <v>365</v>
      </c>
      <c r="E24" s="804"/>
      <c r="F24" s="804"/>
      <c r="G24" s="804"/>
      <c r="H24" s="812">
        <f>+SUM(H11:H23)</f>
        <v>0</v>
      </c>
      <c r="I24" s="814">
        <f>SUM(I11:I23)</f>
        <v>0</v>
      </c>
      <c r="J24" s="814">
        <f t="shared" ref="J24:O24" si="12">SUM(J11:J23)</f>
        <v>0</v>
      </c>
      <c r="K24" s="814">
        <f t="shared" si="12"/>
        <v>0</v>
      </c>
      <c r="L24" s="814"/>
      <c r="M24" s="814"/>
      <c r="N24" s="814">
        <f t="shared" ref="N24" si="13">SUM(N11:N23)</f>
        <v>0</v>
      </c>
      <c r="O24" s="814">
        <f t="shared" si="12"/>
        <v>0</v>
      </c>
      <c r="P24" s="814"/>
      <c r="Q24" s="814"/>
      <c r="R24" s="814">
        <f t="shared" ref="R24" si="14">SUM(R11:R23)</f>
        <v>0</v>
      </c>
      <c r="S24" s="102">
        <f t="shared" si="4"/>
        <v>0</v>
      </c>
    </row>
    <row r="25" spans="1:19">
      <c r="B25" s="828"/>
      <c r="C25" s="804"/>
      <c r="D25" s="829"/>
      <c r="E25" s="804"/>
      <c r="F25" s="804"/>
      <c r="G25" s="804"/>
      <c r="H25" s="829"/>
      <c r="I25" s="829"/>
      <c r="J25" s="829"/>
      <c r="K25" s="829"/>
      <c r="L25" s="829"/>
      <c r="M25" s="829"/>
      <c r="N25" s="829"/>
      <c r="O25" s="829"/>
      <c r="P25" s="829"/>
      <c r="Q25" s="829"/>
      <c r="R25" s="829"/>
    </row>
    <row r="26" spans="1:19">
      <c r="B26" s="828"/>
      <c r="C26" s="804"/>
      <c r="D26" s="829"/>
      <c r="E26" s="804"/>
      <c r="F26" s="804"/>
      <c r="G26" s="804"/>
      <c r="H26" s="829"/>
      <c r="I26" s="829"/>
      <c r="J26" s="829"/>
      <c r="K26" s="829"/>
      <c r="L26" s="829"/>
      <c r="M26" s="829"/>
      <c r="N26" s="829"/>
      <c r="O26" s="829"/>
      <c r="P26" s="829"/>
      <c r="Q26" s="829"/>
      <c r="R26" s="829"/>
    </row>
    <row r="27" spans="1:19">
      <c r="B27" s="794" t="s">
        <v>628</v>
      </c>
      <c r="C27" s="794"/>
      <c r="D27" s="794"/>
      <c r="E27" s="794"/>
      <c r="F27" s="794"/>
      <c r="G27" s="794"/>
      <c r="H27" s="794"/>
      <c r="I27" s="794"/>
      <c r="J27" s="794"/>
      <c r="K27" s="794"/>
      <c r="L27" s="794"/>
      <c r="M27" s="794"/>
      <c r="N27" s="794"/>
      <c r="O27" s="794"/>
      <c r="P27" s="794"/>
      <c r="Q27" s="794"/>
      <c r="R27" s="794"/>
    </row>
    <row r="28" spans="1:19">
      <c r="B28" s="794" t="s">
        <v>655</v>
      </c>
      <c r="C28" s="794"/>
      <c r="D28" s="794"/>
      <c r="E28" s="794"/>
      <c r="F28" s="794"/>
      <c r="G28" s="794"/>
      <c r="H28" s="794"/>
      <c r="I28" s="794"/>
      <c r="J28" s="794"/>
      <c r="K28" s="794"/>
      <c r="L28" s="794"/>
      <c r="M28" s="794"/>
      <c r="N28" s="794"/>
      <c r="O28" s="794"/>
      <c r="P28" s="794"/>
      <c r="Q28" s="794"/>
      <c r="R28" s="794"/>
    </row>
  </sheetData>
  <mergeCells count="3">
    <mergeCell ref="B1:S1"/>
    <mergeCell ref="B3:S3"/>
    <mergeCell ref="B2:S2"/>
  </mergeCells>
  <pageMargins left="0.7" right="0.7" top="0.75" bottom="0.75" header="0.3" footer="0.3"/>
  <pageSetup scale="43" orientation="landscape" r:id="rId1"/>
  <headerFooter>
    <oddHeader>&amp;RCompliance Filing Attachment 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CF089-CC90-42CF-AC6E-8AFC88577FC7}">
  <sheetPr>
    <tabColor rgb="FF92D050"/>
    <pageSetUpPr fitToPage="1"/>
  </sheetPr>
  <dimension ref="A1:P51"/>
  <sheetViews>
    <sheetView topLeftCell="B1" zoomScale="70" zoomScaleNormal="70" workbookViewId="0">
      <selection activeCell="B1" sqref="B1:P1"/>
    </sheetView>
  </sheetViews>
  <sheetFormatPr defaultRowHeight="15"/>
  <cols>
    <col min="1" max="1" width="4.88671875" customWidth="1"/>
    <col min="2" max="2" width="20" customWidth="1"/>
    <col min="3" max="3" width="11.5546875" customWidth="1"/>
    <col min="4" max="4" width="10.5546875" customWidth="1"/>
    <col min="5" max="5" width="11.88671875" customWidth="1"/>
    <col min="6" max="6" width="11.21875" customWidth="1"/>
    <col min="7" max="7" width="10.77734375" customWidth="1"/>
    <col min="8" max="8" width="11.88671875" customWidth="1"/>
    <col min="9" max="9" width="19.109375" customWidth="1"/>
    <col min="10" max="10" width="3.6640625" customWidth="1"/>
    <col min="11" max="11" width="17" customWidth="1"/>
    <col min="12" max="12" width="13" customWidth="1"/>
    <col min="13" max="13" width="14.21875" customWidth="1"/>
    <col min="14" max="14" width="15.33203125" customWidth="1"/>
    <col min="15" max="15" width="18.109375" customWidth="1"/>
    <col min="16" max="16" width="20.44140625" customWidth="1"/>
  </cols>
  <sheetData>
    <row r="1" spans="1:16" ht="15.75">
      <c r="B1" s="1003" t="s">
        <v>604</v>
      </c>
      <c r="C1" s="1003"/>
      <c r="D1" s="1003"/>
      <c r="E1" s="1003"/>
      <c r="F1" s="1003"/>
      <c r="G1" s="1003"/>
      <c r="H1" s="1003"/>
      <c r="I1" s="1003"/>
      <c r="J1" s="1003"/>
      <c r="K1" s="1003"/>
      <c r="L1" s="1003"/>
      <c r="M1" s="1003"/>
      <c r="N1" s="1003"/>
      <c r="O1" s="1003"/>
      <c r="P1" s="1003"/>
    </row>
    <row r="2" spans="1:16" ht="15.75">
      <c r="B2" s="1003" t="str">
        <f>+Index!C7</f>
        <v>HURLEY AVENUE PROJECT - SYSTEM DELIVERABILITY UPGRADE</v>
      </c>
      <c r="C2" s="1003"/>
      <c r="D2" s="1003"/>
      <c r="E2" s="1003"/>
      <c r="F2" s="1003"/>
      <c r="G2" s="1003"/>
      <c r="H2" s="1003"/>
      <c r="I2" s="1003"/>
      <c r="J2" s="1003"/>
      <c r="K2" s="1003"/>
      <c r="L2" s="1003"/>
      <c r="M2" s="1003"/>
      <c r="N2" s="1003"/>
      <c r="O2" s="1003"/>
      <c r="P2" s="1003"/>
    </row>
    <row r="3" spans="1:16" ht="15.75">
      <c r="B3" s="1003" t="s">
        <v>669</v>
      </c>
      <c r="C3" s="1003"/>
      <c r="D3" s="1003"/>
      <c r="E3" s="1003"/>
      <c r="F3" s="1003"/>
      <c r="G3" s="1003"/>
      <c r="H3" s="1003"/>
      <c r="I3" s="1003"/>
      <c r="J3" s="1003"/>
      <c r="K3" s="1003"/>
      <c r="L3" s="1003"/>
      <c r="M3" s="1003"/>
      <c r="N3" s="1003"/>
      <c r="O3" s="1003"/>
      <c r="P3" s="1003"/>
    </row>
    <row r="4" spans="1:16" ht="18">
      <c r="B4" s="830"/>
      <c r="P4" s="831"/>
    </row>
    <row r="5" spans="1:16">
      <c r="B5" s="832" t="s">
        <v>630</v>
      </c>
      <c r="C5" s="833"/>
      <c r="H5" s="251"/>
    </row>
    <row r="6" spans="1:16">
      <c r="A6" s="794"/>
      <c r="B6" s="794" t="s">
        <v>605</v>
      </c>
      <c r="C6" s="794"/>
      <c r="D6" s="794"/>
      <c r="E6" s="794"/>
      <c r="F6" s="794"/>
      <c r="G6" s="794"/>
      <c r="H6" s="794"/>
      <c r="I6" s="794"/>
      <c r="J6" s="794"/>
      <c r="K6" s="794"/>
      <c r="L6" s="794"/>
      <c r="M6" s="794"/>
      <c r="N6" s="794"/>
      <c r="O6" s="794"/>
      <c r="P6" s="794"/>
    </row>
    <row r="7" spans="1:16">
      <c r="A7" s="794"/>
      <c r="B7" s="794"/>
      <c r="C7" s="794"/>
      <c r="D7" s="794"/>
      <c r="E7" s="794"/>
      <c r="F7" s="794"/>
      <c r="G7" s="794"/>
      <c r="H7" s="794"/>
      <c r="I7" s="794"/>
      <c r="J7" s="794"/>
      <c r="K7" s="794"/>
      <c r="L7" s="794"/>
      <c r="M7" s="794"/>
      <c r="N7" s="794"/>
      <c r="O7" s="794"/>
      <c r="P7" s="794"/>
    </row>
    <row r="9" spans="1:16" ht="15.75">
      <c r="A9" s="834"/>
      <c r="B9" s="835" t="s">
        <v>608</v>
      </c>
      <c r="C9" s="834"/>
      <c r="D9" s="834"/>
      <c r="E9" s="834"/>
      <c r="F9" s="834"/>
      <c r="G9" s="834"/>
      <c r="H9" s="834"/>
      <c r="I9" s="834"/>
      <c r="J9" s="834"/>
      <c r="K9" s="835"/>
      <c r="L9" s="834"/>
      <c r="M9" s="834"/>
      <c r="N9" s="834"/>
      <c r="O9" s="834"/>
      <c r="P9" s="834"/>
    </row>
    <row r="10" spans="1:16" ht="37.5" customHeight="1">
      <c r="A10" s="834"/>
      <c r="B10" s="1004" t="s">
        <v>631</v>
      </c>
      <c r="C10" s="1005"/>
      <c r="D10" s="1005"/>
      <c r="E10" s="1005"/>
      <c r="F10" s="1006"/>
      <c r="G10" s="1007" t="s">
        <v>632</v>
      </c>
      <c r="H10" s="1008"/>
      <c r="I10" s="1009"/>
      <c r="J10" s="836"/>
      <c r="K10" s="1010" t="s">
        <v>633</v>
      </c>
      <c r="L10" s="1011"/>
      <c r="M10" s="1011"/>
      <c r="N10" s="1011"/>
      <c r="O10" s="1011"/>
      <c r="P10" s="1012"/>
    </row>
    <row r="11" spans="1:16" ht="15.75">
      <c r="A11" s="834"/>
      <c r="B11" s="837" t="s">
        <v>293</v>
      </c>
      <c r="C11" s="837" t="s">
        <v>294</v>
      </c>
      <c r="D11" s="837" t="s">
        <v>304</v>
      </c>
      <c r="E11" s="837" t="s">
        <v>306</v>
      </c>
      <c r="F11" s="837" t="s">
        <v>307</v>
      </c>
      <c r="G11" s="837" t="s">
        <v>308</v>
      </c>
      <c r="H11" s="837" t="s">
        <v>309</v>
      </c>
      <c r="I11" s="837" t="s">
        <v>310</v>
      </c>
      <c r="J11" s="838"/>
      <c r="K11" s="837" t="s">
        <v>316</v>
      </c>
      <c r="L11" s="837" t="s">
        <v>317</v>
      </c>
      <c r="M11" s="837" t="s">
        <v>328</v>
      </c>
      <c r="N11" s="837" t="s">
        <v>329</v>
      </c>
      <c r="O11" s="837" t="s">
        <v>330</v>
      </c>
      <c r="P11" s="837" t="s">
        <v>331</v>
      </c>
    </row>
    <row r="12" spans="1:16" ht="150">
      <c r="A12" s="834"/>
      <c r="B12" s="839" t="s">
        <v>634</v>
      </c>
      <c r="C12" s="839" t="s">
        <v>611</v>
      </c>
      <c r="D12" s="839" t="s">
        <v>635</v>
      </c>
      <c r="E12" s="839" t="s">
        <v>636</v>
      </c>
      <c r="F12" s="839" t="s">
        <v>637</v>
      </c>
      <c r="G12" s="839" t="s">
        <v>638</v>
      </c>
      <c r="H12" s="839" t="s">
        <v>639</v>
      </c>
      <c r="I12" s="839" t="s">
        <v>656</v>
      </c>
      <c r="J12" s="840"/>
      <c r="K12" s="841" t="s">
        <v>657</v>
      </c>
      <c r="L12" s="841" t="s">
        <v>658</v>
      </c>
      <c r="M12" s="841" t="s">
        <v>640</v>
      </c>
      <c r="N12" s="841" t="s">
        <v>641</v>
      </c>
      <c r="O12" s="841" t="s">
        <v>642</v>
      </c>
      <c r="P12" s="841" t="s">
        <v>643</v>
      </c>
    </row>
    <row r="13" spans="1:16">
      <c r="A13" s="834"/>
      <c r="B13" s="834"/>
      <c r="C13" s="840"/>
      <c r="D13" s="840"/>
      <c r="E13" s="840"/>
      <c r="F13" s="840"/>
      <c r="G13" s="840"/>
      <c r="H13" s="840"/>
      <c r="I13" s="840"/>
      <c r="J13" s="840"/>
      <c r="K13" s="842"/>
      <c r="L13" s="842"/>
      <c r="M13" s="842"/>
      <c r="N13" s="842"/>
      <c r="O13" s="842"/>
      <c r="P13" s="842"/>
    </row>
    <row r="14" spans="1:16">
      <c r="A14" s="834">
        <v>1</v>
      </c>
      <c r="B14" s="891" t="s">
        <v>675</v>
      </c>
      <c r="C14" s="843"/>
      <c r="D14" s="820"/>
      <c r="E14" s="820"/>
      <c r="F14" s="820"/>
      <c r="G14" s="844"/>
      <c r="H14" s="844"/>
      <c r="I14" s="845">
        <v>0</v>
      </c>
      <c r="J14" s="846"/>
      <c r="K14" s="847"/>
      <c r="L14" s="848"/>
      <c r="M14" s="848"/>
      <c r="N14" s="848"/>
      <c r="O14" s="848"/>
      <c r="P14" s="849">
        <f>+I14</f>
        <v>0</v>
      </c>
    </row>
    <row r="15" spans="1:16">
      <c r="A15" s="834">
        <f t="shared" ref="A15:A27" si="0">+A14+1</f>
        <v>2</v>
      </c>
      <c r="B15" s="804" t="s">
        <v>139</v>
      </c>
      <c r="C15" s="819">
        <v>30</v>
      </c>
      <c r="D15" s="820">
        <f t="shared" ref="D15:D25" si="1">D16+C16</f>
        <v>336</v>
      </c>
      <c r="E15" s="820">
        <f>SUM(C15:C26)</f>
        <v>365</v>
      </c>
      <c r="F15" s="811">
        <f>+D15/E15</f>
        <v>0.92054794520547945</v>
      </c>
      <c r="G15" s="845">
        <v>0</v>
      </c>
      <c r="H15" s="844">
        <f t="shared" ref="H15:H26" si="2">+G15*F15</f>
        <v>0</v>
      </c>
      <c r="I15" s="844">
        <f t="shared" ref="I15:I17" si="3">+H15+I14</f>
        <v>0</v>
      </c>
      <c r="J15" s="846"/>
      <c r="K15" s="850">
        <f>+M33</f>
        <v>0</v>
      </c>
      <c r="L15" s="848">
        <f>K15-G15</f>
        <v>0</v>
      </c>
      <c r="M15" s="849">
        <f>IF(AND(G15&gt;=0,K15&gt;=0),IF(L15&gt;=0,H15,K15/G15*H15),IF(AND(G15&lt;0,K15&lt;0),IF(L15&lt;0,H15,K15/G15*H15),0))</f>
        <v>0</v>
      </c>
      <c r="N15" s="849">
        <f>IF(AND(G15&gt;=0,K15&gt;=0),IF(L15&gt;=0,L15,0),IF(AND(G15&lt;0,K15&lt;0),IF(L15&lt;0,L15,0),0))</f>
        <v>0</v>
      </c>
      <c r="O15" s="849">
        <f>IF(AND(G15&gt;=0,K15&lt;0),K15,IF(AND(G15&lt;0,K15&gt;=0),K15,0))</f>
        <v>0</v>
      </c>
      <c r="P15" s="849">
        <f>P14+M15+(N15+O15)*0.5</f>
        <v>0</v>
      </c>
    </row>
    <row r="16" spans="1:16">
      <c r="A16" s="834">
        <f t="shared" si="0"/>
        <v>3</v>
      </c>
      <c r="B16" s="804" t="s">
        <v>138</v>
      </c>
      <c r="C16" s="864">
        <v>31</v>
      </c>
      <c r="D16" s="820">
        <f t="shared" si="1"/>
        <v>305</v>
      </c>
      <c r="E16" s="820">
        <f>E15</f>
        <v>365</v>
      </c>
      <c r="F16" s="811">
        <f t="shared" ref="F16:F26" si="4">+D16/E16</f>
        <v>0.83561643835616439</v>
      </c>
      <c r="G16" s="845">
        <v>0</v>
      </c>
      <c r="H16" s="844">
        <f t="shared" si="2"/>
        <v>0</v>
      </c>
      <c r="I16" s="844">
        <f t="shared" si="3"/>
        <v>0</v>
      </c>
      <c r="J16" s="846"/>
      <c r="K16" s="850">
        <f t="shared" ref="K16:K26" si="5">+M34</f>
        <v>0</v>
      </c>
      <c r="L16" s="848">
        <f>K16-G16</f>
        <v>0</v>
      </c>
      <c r="M16" s="849">
        <f t="shared" ref="M16:M26" si="6">IF(AND(G16&gt;=0,K16&gt;=0),IF(L16&gt;=0,H16,K16/G16*H16),IF(AND(G16&lt;0,K16&lt;0),IF(L16&lt;0,H16,K16/G16*H16),0))</f>
        <v>0</v>
      </c>
      <c r="N16" s="849">
        <f t="shared" ref="N16:N26" si="7">IF(AND(G16&gt;=0,K16&gt;=0),IF(L16&gt;=0,L16,0),IF(AND(G16&lt;0,K16&lt;0),IF(L16&lt;0,L16,0),0))</f>
        <v>0</v>
      </c>
      <c r="O16" s="849">
        <f t="shared" ref="O16:O26" si="8">IF(AND(G16&gt;=0,K16&lt;0),K16,IF(AND(G16&lt;0,K16&gt;=0),K16,0))</f>
        <v>0</v>
      </c>
      <c r="P16" s="849">
        <f>P15+M16+(N16+O16)*0.5</f>
        <v>0</v>
      </c>
    </row>
    <row r="17" spans="1:16">
      <c r="A17" s="834">
        <f t="shared" si="0"/>
        <v>4</v>
      </c>
      <c r="B17" s="804" t="s">
        <v>137</v>
      </c>
      <c r="C17" s="819">
        <v>31</v>
      </c>
      <c r="D17" s="820">
        <f t="shared" si="1"/>
        <v>274</v>
      </c>
      <c r="E17" s="820">
        <f t="shared" ref="E17:E26" si="9">E16</f>
        <v>365</v>
      </c>
      <c r="F17" s="811">
        <f t="shared" si="4"/>
        <v>0.75068493150684934</v>
      </c>
      <c r="G17" s="845">
        <v>0</v>
      </c>
      <c r="H17" s="844">
        <f t="shared" si="2"/>
        <v>0</v>
      </c>
      <c r="I17" s="844">
        <f t="shared" si="3"/>
        <v>0</v>
      </c>
      <c r="J17" s="846"/>
      <c r="K17" s="850">
        <f t="shared" si="5"/>
        <v>0</v>
      </c>
      <c r="L17" s="848">
        <f t="shared" ref="L17:L26" si="10">K17-G17</f>
        <v>0</v>
      </c>
      <c r="M17" s="849">
        <f t="shared" si="6"/>
        <v>0</v>
      </c>
      <c r="N17" s="849">
        <f t="shared" si="7"/>
        <v>0</v>
      </c>
      <c r="O17" s="849">
        <f t="shared" si="8"/>
        <v>0</v>
      </c>
      <c r="P17" s="849">
        <f>P16+M17+(N17+O17)*0.5</f>
        <v>0</v>
      </c>
    </row>
    <row r="18" spans="1:16">
      <c r="A18" s="834">
        <f t="shared" si="0"/>
        <v>5</v>
      </c>
      <c r="B18" s="804" t="s">
        <v>136</v>
      </c>
      <c r="C18" s="819">
        <v>30</v>
      </c>
      <c r="D18" s="820">
        <f t="shared" si="1"/>
        <v>244</v>
      </c>
      <c r="E18" s="820">
        <f t="shared" si="9"/>
        <v>365</v>
      </c>
      <c r="F18" s="811">
        <f t="shared" si="4"/>
        <v>0.66849315068493154</v>
      </c>
      <c r="G18" s="845">
        <v>0</v>
      </c>
      <c r="H18" s="844">
        <f t="shared" si="2"/>
        <v>0</v>
      </c>
      <c r="I18" s="844">
        <f>+H18+I17</f>
        <v>0</v>
      </c>
      <c r="J18" s="846"/>
      <c r="K18" s="850">
        <f t="shared" si="5"/>
        <v>0</v>
      </c>
      <c r="L18" s="848">
        <f t="shared" si="10"/>
        <v>0</v>
      </c>
      <c r="M18" s="849">
        <f t="shared" si="6"/>
        <v>0</v>
      </c>
      <c r="N18" s="849">
        <f t="shared" si="7"/>
        <v>0</v>
      </c>
      <c r="O18" s="849">
        <f t="shared" si="8"/>
        <v>0</v>
      </c>
      <c r="P18" s="849">
        <f t="shared" ref="P18:P26" si="11">P17+M18+(N18+O18)*0.5</f>
        <v>0</v>
      </c>
    </row>
    <row r="19" spans="1:16">
      <c r="A19" s="834">
        <f t="shared" si="0"/>
        <v>6</v>
      </c>
      <c r="B19" s="804" t="s">
        <v>148</v>
      </c>
      <c r="C19" s="819">
        <v>31</v>
      </c>
      <c r="D19" s="820">
        <f t="shared" si="1"/>
        <v>213</v>
      </c>
      <c r="E19" s="820">
        <f t="shared" si="9"/>
        <v>365</v>
      </c>
      <c r="F19" s="811">
        <f t="shared" si="4"/>
        <v>0.58356164383561648</v>
      </c>
      <c r="G19" s="845">
        <v>0</v>
      </c>
      <c r="H19" s="844">
        <f t="shared" si="2"/>
        <v>0</v>
      </c>
      <c r="I19" s="844">
        <f t="shared" ref="I19:I26" si="12">+H19+I18</f>
        <v>0</v>
      </c>
      <c r="J19" s="846"/>
      <c r="K19" s="850">
        <f t="shared" si="5"/>
        <v>0</v>
      </c>
      <c r="L19" s="848">
        <f t="shared" si="10"/>
        <v>0</v>
      </c>
      <c r="M19" s="849">
        <f t="shared" si="6"/>
        <v>0</v>
      </c>
      <c r="N19" s="849">
        <f t="shared" si="7"/>
        <v>0</v>
      </c>
      <c r="O19" s="849">
        <f t="shared" si="8"/>
        <v>0</v>
      </c>
      <c r="P19" s="849">
        <f t="shared" si="11"/>
        <v>0</v>
      </c>
    </row>
    <row r="20" spans="1:16">
      <c r="A20" s="834">
        <f t="shared" si="0"/>
        <v>7</v>
      </c>
      <c r="B20" s="804" t="s">
        <v>134</v>
      </c>
      <c r="C20" s="819">
        <v>30</v>
      </c>
      <c r="D20" s="820">
        <f t="shared" si="1"/>
        <v>183</v>
      </c>
      <c r="E20" s="820">
        <f t="shared" si="9"/>
        <v>365</v>
      </c>
      <c r="F20" s="811">
        <f t="shared" si="4"/>
        <v>0.50136986301369868</v>
      </c>
      <c r="G20" s="845">
        <v>0</v>
      </c>
      <c r="H20" s="844">
        <f t="shared" si="2"/>
        <v>0</v>
      </c>
      <c r="I20" s="844">
        <f t="shared" si="12"/>
        <v>0</v>
      </c>
      <c r="J20" s="846"/>
      <c r="K20" s="850">
        <f t="shared" si="5"/>
        <v>0</v>
      </c>
      <c r="L20" s="848">
        <f t="shared" si="10"/>
        <v>0</v>
      </c>
      <c r="M20" s="849">
        <f t="shared" si="6"/>
        <v>0</v>
      </c>
      <c r="N20" s="849">
        <f t="shared" si="7"/>
        <v>0</v>
      </c>
      <c r="O20" s="849">
        <f t="shared" si="8"/>
        <v>0</v>
      </c>
      <c r="P20" s="849">
        <f t="shared" si="11"/>
        <v>0</v>
      </c>
    </row>
    <row r="21" spans="1:16">
      <c r="A21" s="834">
        <f t="shared" si="0"/>
        <v>8</v>
      </c>
      <c r="B21" s="804" t="s">
        <v>132</v>
      </c>
      <c r="C21" s="819">
        <v>31</v>
      </c>
      <c r="D21" s="820">
        <f t="shared" si="1"/>
        <v>152</v>
      </c>
      <c r="E21" s="820">
        <f t="shared" si="9"/>
        <v>365</v>
      </c>
      <c r="F21" s="811">
        <f t="shared" si="4"/>
        <v>0.41643835616438357</v>
      </c>
      <c r="G21" s="845">
        <v>0</v>
      </c>
      <c r="H21" s="844">
        <f t="shared" si="2"/>
        <v>0</v>
      </c>
      <c r="I21" s="844">
        <f t="shared" si="12"/>
        <v>0</v>
      </c>
      <c r="J21" s="846"/>
      <c r="K21" s="850">
        <f t="shared" si="5"/>
        <v>0</v>
      </c>
      <c r="L21" s="848">
        <f t="shared" si="10"/>
        <v>0</v>
      </c>
      <c r="M21" s="849">
        <f t="shared" si="6"/>
        <v>0</v>
      </c>
      <c r="N21" s="849">
        <f t="shared" si="7"/>
        <v>0</v>
      </c>
      <c r="O21" s="849">
        <f t="shared" si="8"/>
        <v>0</v>
      </c>
      <c r="P21" s="849">
        <f t="shared" si="11"/>
        <v>0</v>
      </c>
    </row>
    <row r="22" spans="1:16">
      <c r="A22" s="834">
        <f t="shared" si="0"/>
        <v>9</v>
      </c>
      <c r="B22" s="892" t="s">
        <v>676</v>
      </c>
      <c r="C22" s="819">
        <v>31</v>
      </c>
      <c r="D22" s="820">
        <f t="shared" si="1"/>
        <v>121</v>
      </c>
      <c r="E22" s="820">
        <f t="shared" si="9"/>
        <v>365</v>
      </c>
      <c r="F22" s="811">
        <f t="shared" si="4"/>
        <v>0.33150684931506852</v>
      </c>
      <c r="G22" s="845">
        <v>0</v>
      </c>
      <c r="H22" s="844">
        <f t="shared" si="2"/>
        <v>0</v>
      </c>
      <c r="I22" s="844">
        <f t="shared" si="12"/>
        <v>0</v>
      </c>
      <c r="J22" s="846"/>
      <c r="K22" s="850">
        <f t="shared" si="5"/>
        <v>0</v>
      </c>
      <c r="L22" s="848">
        <f t="shared" si="10"/>
        <v>0</v>
      </c>
      <c r="M22" s="849">
        <f t="shared" si="6"/>
        <v>0</v>
      </c>
      <c r="N22" s="849">
        <f t="shared" si="7"/>
        <v>0</v>
      </c>
      <c r="O22" s="849">
        <f t="shared" si="8"/>
        <v>0</v>
      </c>
      <c r="P22" s="849">
        <f t="shared" si="11"/>
        <v>0</v>
      </c>
    </row>
    <row r="23" spans="1:16">
      <c r="A23" s="834">
        <f t="shared" si="0"/>
        <v>10</v>
      </c>
      <c r="B23" s="804" t="s">
        <v>141</v>
      </c>
      <c r="C23" s="821">
        <v>28</v>
      </c>
      <c r="D23" s="820">
        <f t="shared" si="1"/>
        <v>93</v>
      </c>
      <c r="E23" s="820">
        <f t="shared" si="9"/>
        <v>365</v>
      </c>
      <c r="F23" s="811">
        <f t="shared" si="4"/>
        <v>0.25479452054794521</v>
      </c>
      <c r="G23" s="845">
        <v>0</v>
      </c>
      <c r="H23" s="844">
        <f t="shared" si="2"/>
        <v>0</v>
      </c>
      <c r="I23" s="844">
        <f t="shared" si="12"/>
        <v>0</v>
      </c>
      <c r="J23" s="846"/>
      <c r="K23" s="850">
        <f t="shared" si="5"/>
        <v>0</v>
      </c>
      <c r="L23" s="848">
        <f t="shared" si="10"/>
        <v>0</v>
      </c>
      <c r="M23" s="849">
        <f t="shared" si="6"/>
        <v>0</v>
      </c>
      <c r="N23" s="849">
        <f t="shared" si="7"/>
        <v>0</v>
      </c>
      <c r="O23" s="849">
        <f t="shared" si="8"/>
        <v>0</v>
      </c>
      <c r="P23" s="849">
        <f t="shared" si="11"/>
        <v>0</v>
      </c>
    </row>
    <row r="24" spans="1:16">
      <c r="A24" s="834">
        <f t="shared" si="0"/>
        <v>11</v>
      </c>
      <c r="B24" s="804" t="s">
        <v>140</v>
      </c>
      <c r="C24" s="819">
        <v>31</v>
      </c>
      <c r="D24" s="820">
        <f t="shared" si="1"/>
        <v>62</v>
      </c>
      <c r="E24" s="820">
        <f t="shared" si="9"/>
        <v>365</v>
      </c>
      <c r="F24" s="811">
        <f t="shared" si="4"/>
        <v>0.16986301369863013</v>
      </c>
      <c r="G24" s="845">
        <v>0</v>
      </c>
      <c r="H24" s="844">
        <f t="shared" si="2"/>
        <v>0</v>
      </c>
      <c r="I24" s="844">
        <f t="shared" si="12"/>
        <v>0</v>
      </c>
      <c r="J24" s="846"/>
      <c r="K24" s="850">
        <f t="shared" si="5"/>
        <v>0</v>
      </c>
      <c r="L24" s="848">
        <f t="shared" si="10"/>
        <v>0</v>
      </c>
      <c r="M24" s="849">
        <f t="shared" si="6"/>
        <v>0</v>
      </c>
      <c r="N24" s="849">
        <f t="shared" si="7"/>
        <v>0</v>
      </c>
      <c r="O24" s="849">
        <f t="shared" si="8"/>
        <v>0</v>
      </c>
      <c r="P24" s="849">
        <f t="shared" si="11"/>
        <v>0</v>
      </c>
    </row>
    <row r="25" spans="1:16">
      <c r="A25" s="834">
        <f t="shared" si="0"/>
        <v>12</v>
      </c>
      <c r="B25" s="804" t="s">
        <v>124</v>
      </c>
      <c r="C25" s="819">
        <v>30</v>
      </c>
      <c r="D25" s="820">
        <f t="shared" si="1"/>
        <v>32</v>
      </c>
      <c r="E25" s="820">
        <f t="shared" si="9"/>
        <v>365</v>
      </c>
      <c r="F25" s="811">
        <f t="shared" si="4"/>
        <v>8.7671232876712329E-2</v>
      </c>
      <c r="G25" s="845">
        <v>0</v>
      </c>
      <c r="H25" s="844">
        <f t="shared" si="2"/>
        <v>0</v>
      </c>
      <c r="I25" s="844">
        <f t="shared" si="12"/>
        <v>0</v>
      </c>
      <c r="J25" s="846"/>
      <c r="K25" s="850">
        <f t="shared" si="5"/>
        <v>0</v>
      </c>
      <c r="L25" s="848">
        <f t="shared" si="10"/>
        <v>0</v>
      </c>
      <c r="M25" s="849">
        <f t="shared" si="6"/>
        <v>0</v>
      </c>
      <c r="N25" s="849">
        <f t="shared" si="7"/>
        <v>0</v>
      </c>
      <c r="O25" s="849">
        <f t="shared" si="8"/>
        <v>0</v>
      </c>
      <c r="P25" s="849">
        <f t="shared" si="11"/>
        <v>0</v>
      </c>
    </row>
    <row r="26" spans="1:16">
      <c r="A26" s="834">
        <f t="shared" si="0"/>
        <v>13</v>
      </c>
      <c r="B26" s="804" t="s">
        <v>123</v>
      </c>
      <c r="C26" s="822">
        <v>31</v>
      </c>
      <c r="D26" s="820">
        <v>1</v>
      </c>
      <c r="E26" s="820">
        <f t="shared" si="9"/>
        <v>365</v>
      </c>
      <c r="F26" s="811">
        <f t="shared" si="4"/>
        <v>2.7397260273972603E-3</v>
      </c>
      <c r="G26" s="845">
        <v>0</v>
      </c>
      <c r="H26" s="844">
        <f t="shared" si="2"/>
        <v>0</v>
      </c>
      <c r="I26" s="844">
        <f t="shared" si="12"/>
        <v>0</v>
      </c>
      <c r="J26" s="846"/>
      <c r="K26" s="850">
        <f t="shared" si="5"/>
        <v>0</v>
      </c>
      <c r="L26" s="848">
        <f t="shared" si="10"/>
        <v>0</v>
      </c>
      <c r="M26" s="849">
        <f t="shared" si="6"/>
        <v>0</v>
      </c>
      <c r="N26" s="849">
        <f t="shared" si="7"/>
        <v>0</v>
      </c>
      <c r="O26" s="849">
        <f t="shared" si="8"/>
        <v>0</v>
      </c>
      <c r="P26" s="849">
        <f t="shared" si="11"/>
        <v>0</v>
      </c>
    </row>
    <row r="27" spans="1:16">
      <c r="A27" s="834">
        <f t="shared" si="0"/>
        <v>14</v>
      </c>
      <c r="B27" s="851" t="s">
        <v>35</v>
      </c>
      <c r="C27" s="852">
        <f>SUM(C15:C26)</f>
        <v>365</v>
      </c>
      <c r="D27" s="851"/>
      <c r="E27" s="851"/>
      <c r="F27" s="853"/>
      <c r="G27" s="854">
        <f>SUM(G15:G26)</f>
        <v>0</v>
      </c>
      <c r="H27" s="854">
        <f>SUM(H15:H26)</f>
        <v>0</v>
      </c>
      <c r="I27" s="855"/>
      <c r="J27" s="846"/>
      <c r="K27" s="854">
        <f>SUM(K15:K26)</f>
        <v>0</v>
      </c>
      <c r="L27" s="854">
        <f t="shared" ref="L27:O27" si="13">SUM(L15:L26)</f>
        <v>0</v>
      </c>
      <c r="M27" s="856">
        <f t="shared" si="13"/>
        <v>0</v>
      </c>
      <c r="N27" s="856">
        <f t="shared" si="13"/>
        <v>0</v>
      </c>
      <c r="O27" s="856">
        <f t="shared" si="13"/>
        <v>0</v>
      </c>
      <c r="P27" s="857"/>
    </row>
    <row r="31" spans="1:16" ht="48.75" customHeight="1">
      <c r="A31" s="794"/>
      <c r="B31" s="794"/>
      <c r="C31" s="793" t="s">
        <v>616</v>
      </c>
      <c r="D31" s="792"/>
      <c r="E31" s="792" t="s">
        <v>618</v>
      </c>
      <c r="F31" s="793" t="s">
        <v>619</v>
      </c>
      <c r="G31" s="793" t="s">
        <v>644</v>
      </c>
      <c r="H31" s="806" t="s">
        <v>622</v>
      </c>
      <c r="I31" s="793" t="s">
        <v>623</v>
      </c>
      <c r="J31" s="794"/>
      <c r="K31" s="793" t="s">
        <v>645</v>
      </c>
      <c r="L31" s="794"/>
      <c r="M31" s="793" t="s">
        <v>646</v>
      </c>
    </row>
    <row r="32" spans="1:16">
      <c r="A32" s="794"/>
      <c r="B32" s="794" t="s">
        <v>647</v>
      </c>
      <c r="C32" s="794"/>
      <c r="D32" s="794"/>
      <c r="E32" s="794"/>
      <c r="F32" s="794"/>
      <c r="G32" s="794"/>
      <c r="H32" s="794"/>
      <c r="I32" s="794"/>
      <c r="J32" s="794"/>
      <c r="K32" s="794"/>
      <c r="L32" s="794"/>
      <c r="M32" s="794"/>
    </row>
    <row r="33" spans="1:13">
      <c r="A33" s="102">
        <f>+A27+1</f>
        <v>15</v>
      </c>
      <c r="B33" s="892" t="s">
        <v>677</v>
      </c>
      <c r="C33" s="576">
        <v>0</v>
      </c>
      <c r="D33" s="605"/>
      <c r="E33" s="576">
        <v>0</v>
      </c>
      <c r="F33" s="796">
        <f>+'Appendix A'!$H$82</f>
        <v>0</v>
      </c>
      <c r="G33" s="605">
        <f t="shared" ref="G33:G44" si="14">+E33*F33</f>
        <v>0</v>
      </c>
      <c r="H33" s="576">
        <v>0</v>
      </c>
      <c r="I33" s="796">
        <f>+'Appendix A'!$J$232</f>
        <v>0</v>
      </c>
      <c r="J33" s="794"/>
      <c r="K33" s="605">
        <f>+H33*I33</f>
        <v>0</v>
      </c>
      <c r="L33" s="605"/>
      <c r="M33" s="605">
        <f t="shared" ref="M33:M44" si="15">+C33+G33+K33</f>
        <v>0</v>
      </c>
    </row>
    <row r="34" spans="1:13">
      <c r="A34" s="102">
        <f>+A33+1</f>
        <v>16</v>
      </c>
      <c r="B34" s="804" t="s">
        <v>138</v>
      </c>
      <c r="C34" s="576">
        <v>0</v>
      </c>
      <c r="D34" s="605"/>
      <c r="E34" s="576">
        <v>0</v>
      </c>
      <c r="F34" s="796">
        <f>+'Appendix A'!$H$82</f>
        <v>0</v>
      </c>
      <c r="G34" s="605">
        <f t="shared" si="14"/>
        <v>0</v>
      </c>
      <c r="H34" s="576">
        <v>0</v>
      </c>
      <c r="I34" s="796">
        <f>+'Appendix A'!$J$232</f>
        <v>0</v>
      </c>
      <c r="J34" s="794"/>
      <c r="K34" s="605">
        <f t="shared" ref="K34:K44" si="16">+H34*I34</f>
        <v>0</v>
      </c>
      <c r="L34" s="605"/>
      <c r="M34" s="605">
        <f t="shared" si="15"/>
        <v>0</v>
      </c>
    </row>
    <row r="35" spans="1:13">
      <c r="A35" s="102">
        <f t="shared" ref="A35:A44" si="17">+A34+1</f>
        <v>17</v>
      </c>
      <c r="B35" s="804" t="s">
        <v>137</v>
      </c>
      <c r="C35" s="576">
        <v>0</v>
      </c>
      <c r="D35" s="605"/>
      <c r="E35" s="576">
        <v>0</v>
      </c>
      <c r="F35" s="796">
        <f>+'Appendix A'!$H$82</f>
        <v>0</v>
      </c>
      <c r="G35" s="605">
        <f t="shared" si="14"/>
        <v>0</v>
      </c>
      <c r="H35" s="576">
        <v>0</v>
      </c>
      <c r="I35" s="796">
        <f>+'Appendix A'!$J$232</f>
        <v>0</v>
      </c>
      <c r="J35" s="794"/>
      <c r="K35" s="605">
        <f t="shared" si="16"/>
        <v>0</v>
      </c>
      <c r="L35" s="605"/>
      <c r="M35" s="605">
        <f t="shared" si="15"/>
        <v>0</v>
      </c>
    </row>
    <row r="36" spans="1:13">
      <c r="A36" s="102">
        <f t="shared" si="17"/>
        <v>18</v>
      </c>
      <c r="B36" s="804" t="s">
        <v>136</v>
      </c>
      <c r="C36" s="576">
        <v>0</v>
      </c>
      <c r="D36" s="605"/>
      <c r="E36" s="576">
        <v>0</v>
      </c>
      <c r="F36" s="796">
        <f>+'Appendix A'!$H$82</f>
        <v>0</v>
      </c>
      <c r="G36" s="605">
        <f t="shared" si="14"/>
        <v>0</v>
      </c>
      <c r="H36" s="576">
        <v>0</v>
      </c>
      <c r="I36" s="796">
        <f>+'Appendix A'!$J$232</f>
        <v>0</v>
      </c>
      <c r="J36" s="794"/>
      <c r="K36" s="605">
        <f t="shared" si="16"/>
        <v>0</v>
      </c>
      <c r="L36" s="605"/>
      <c r="M36" s="605">
        <f t="shared" si="15"/>
        <v>0</v>
      </c>
    </row>
    <row r="37" spans="1:13">
      <c r="A37" s="102">
        <f t="shared" si="17"/>
        <v>19</v>
      </c>
      <c r="B37" s="804" t="s">
        <v>148</v>
      </c>
      <c r="C37" s="576">
        <v>0</v>
      </c>
      <c r="D37" s="605"/>
      <c r="E37" s="576">
        <v>0</v>
      </c>
      <c r="F37" s="796">
        <f>+'Appendix A'!$H$82</f>
        <v>0</v>
      </c>
      <c r="G37" s="605">
        <f t="shared" si="14"/>
        <v>0</v>
      </c>
      <c r="H37" s="576">
        <v>0</v>
      </c>
      <c r="I37" s="796">
        <f>+'Appendix A'!$J$232</f>
        <v>0</v>
      </c>
      <c r="J37" s="794"/>
      <c r="K37" s="605">
        <f t="shared" si="16"/>
        <v>0</v>
      </c>
      <c r="L37" s="605"/>
      <c r="M37" s="605">
        <f t="shared" si="15"/>
        <v>0</v>
      </c>
    </row>
    <row r="38" spans="1:13">
      <c r="A38" s="102">
        <f t="shared" si="17"/>
        <v>20</v>
      </c>
      <c r="B38" s="804" t="s">
        <v>134</v>
      </c>
      <c r="C38" s="576">
        <v>0</v>
      </c>
      <c r="D38" s="605"/>
      <c r="E38" s="576">
        <v>0</v>
      </c>
      <c r="F38" s="796">
        <f>+'Appendix A'!$H$82</f>
        <v>0</v>
      </c>
      <c r="G38" s="605">
        <f t="shared" si="14"/>
        <v>0</v>
      </c>
      <c r="H38" s="576">
        <v>0</v>
      </c>
      <c r="I38" s="796">
        <f>+'Appendix A'!$J$232</f>
        <v>0</v>
      </c>
      <c r="J38" s="794"/>
      <c r="K38" s="605">
        <f t="shared" si="16"/>
        <v>0</v>
      </c>
      <c r="L38" s="605"/>
      <c r="M38" s="605">
        <f t="shared" si="15"/>
        <v>0</v>
      </c>
    </row>
    <row r="39" spans="1:13">
      <c r="A39" s="102">
        <f t="shared" si="17"/>
        <v>21</v>
      </c>
      <c r="B39" s="804" t="s">
        <v>132</v>
      </c>
      <c r="C39" s="576">
        <v>0</v>
      </c>
      <c r="D39" s="605"/>
      <c r="E39" s="576">
        <v>0</v>
      </c>
      <c r="F39" s="796">
        <f>+'Appendix A'!$H$82</f>
        <v>0</v>
      </c>
      <c r="G39" s="605">
        <f t="shared" si="14"/>
        <v>0</v>
      </c>
      <c r="H39" s="576">
        <v>0</v>
      </c>
      <c r="I39" s="796">
        <f>+'Appendix A'!$J$232</f>
        <v>0</v>
      </c>
      <c r="J39" s="794"/>
      <c r="K39" s="605">
        <f t="shared" si="16"/>
        <v>0</v>
      </c>
      <c r="L39" s="605"/>
      <c r="M39" s="605">
        <f t="shared" si="15"/>
        <v>0</v>
      </c>
    </row>
    <row r="40" spans="1:13">
      <c r="A40" s="102">
        <f t="shared" si="17"/>
        <v>22</v>
      </c>
      <c r="B40" s="892" t="s">
        <v>676</v>
      </c>
      <c r="C40" s="576">
        <v>0</v>
      </c>
      <c r="D40" s="605"/>
      <c r="E40" s="576">
        <v>0</v>
      </c>
      <c r="F40" s="796">
        <f>+'Appendix A'!$H$82</f>
        <v>0</v>
      </c>
      <c r="G40" s="605">
        <f t="shared" si="14"/>
        <v>0</v>
      </c>
      <c r="H40" s="576">
        <v>0</v>
      </c>
      <c r="I40" s="796">
        <f>+'Appendix A'!$J$232</f>
        <v>0</v>
      </c>
      <c r="J40" s="794"/>
      <c r="K40" s="605">
        <f t="shared" si="16"/>
        <v>0</v>
      </c>
      <c r="L40" s="605"/>
      <c r="M40" s="605">
        <f t="shared" si="15"/>
        <v>0</v>
      </c>
    </row>
    <row r="41" spans="1:13">
      <c r="A41" s="102">
        <f t="shared" si="17"/>
        <v>23</v>
      </c>
      <c r="B41" s="804" t="s">
        <v>141</v>
      </c>
      <c r="C41" s="576">
        <v>0</v>
      </c>
      <c r="D41" s="605"/>
      <c r="E41" s="576">
        <v>0</v>
      </c>
      <c r="F41" s="796">
        <f>+'Appendix A'!$H$82</f>
        <v>0</v>
      </c>
      <c r="G41" s="605">
        <f t="shared" si="14"/>
        <v>0</v>
      </c>
      <c r="H41" s="576">
        <v>0</v>
      </c>
      <c r="I41" s="796">
        <f>+'Appendix A'!$J$232</f>
        <v>0</v>
      </c>
      <c r="J41" s="794"/>
      <c r="K41" s="605">
        <f t="shared" si="16"/>
        <v>0</v>
      </c>
      <c r="L41" s="605"/>
      <c r="M41" s="605">
        <f t="shared" si="15"/>
        <v>0</v>
      </c>
    </row>
    <row r="42" spans="1:13">
      <c r="A42" s="102">
        <f t="shared" si="17"/>
        <v>24</v>
      </c>
      <c r="B42" s="804" t="s">
        <v>140</v>
      </c>
      <c r="C42" s="576">
        <v>0</v>
      </c>
      <c r="D42" s="605"/>
      <c r="E42" s="576">
        <v>0</v>
      </c>
      <c r="F42" s="796">
        <f>+'Appendix A'!$H$82</f>
        <v>0</v>
      </c>
      <c r="G42" s="605">
        <f t="shared" si="14"/>
        <v>0</v>
      </c>
      <c r="H42" s="576">
        <v>0</v>
      </c>
      <c r="I42" s="796">
        <f>+'Appendix A'!$J$232</f>
        <v>0</v>
      </c>
      <c r="J42" s="794"/>
      <c r="K42" s="605">
        <f t="shared" si="16"/>
        <v>0</v>
      </c>
      <c r="L42" s="605"/>
      <c r="M42" s="605">
        <f t="shared" si="15"/>
        <v>0</v>
      </c>
    </row>
    <row r="43" spans="1:13">
      <c r="A43" s="102">
        <f t="shared" si="17"/>
        <v>25</v>
      </c>
      <c r="B43" s="804" t="s">
        <v>124</v>
      </c>
      <c r="C43" s="576">
        <v>0</v>
      </c>
      <c r="D43" s="605"/>
      <c r="E43" s="576">
        <v>0</v>
      </c>
      <c r="F43" s="796">
        <f>+'Appendix A'!$H$82</f>
        <v>0</v>
      </c>
      <c r="G43" s="605">
        <f t="shared" si="14"/>
        <v>0</v>
      </c>
      <c r="H43" s="576">
        <v>0</v>
      </c>
      <c r="I43" s="796">
        <f>+'Appendix A'!$J$232</f>
        <v>0</v>
      </c>
      <c r="J43" s="794"/>
      <c r="K43" s="605">
        <f t="shared" si="16"/>
        <v>0</v>
      </c>
      <c r="L43" s="605"/>
      <c r="M43" s="605">
        <f t="shared" si="15"/>
        <v>0</v>
      </c>
    </row>
    <row r="44" spans="1:13">
      <c r="A44" s="102">
        <f t="shared" si="17"/>
        <v>26</v>
      </c>
      <c r="B44" s="804" t="s">
        <v>123</v>
      </c>
      <c r="C44" s="576">
        <v>0</v>
      </c>
      <c r="D44" s="605"/>
      <c r="E44" s="576">
        <v>0</v>
      </c>
      <c r="F44" s="796">
        <f>+'Appendix A'!$H$82</f>
        <v>0</v>
      </c>
      <c r="G44" s="605">
        <f t="shared" si="14"/>
        <v>0</v>
      </c>
      <c r="H44" s="576">
        <v>0</v>
      </c>
      <c r="I44" s="796">
        <f>+'Appendix A'!$J$232</f>
        <v>0</v>
      </c>
      <c r="J44" s="794"/>
      <c r="K44" s="605">
        <f t="shared" si="16"/>
        <v>0</v>
      </c>
      <c r="L44" s="605"/>
      <c r="M44" s="605">
        <f t="shared" si="15"/>
        <v>0</v>
      </c>
    </row>
    <row r="47" spans="1:13">
      <c r="B47" s="794" t="s">
        <v>628</v>
      </c>
    </row>
    <row r="48" spans="1:13">
      <c r="B48" s="794" t="s">
        <v>648</v>
      </c>
    </row>
    <row r="49" spans="2:2">
      <c r="B49" s="794" t="s">
        <v>649</v>
      </c>
    </row>
    <row r="50" spans="2:2">
      <c r="B50" s="794" t="s">
        <v>650</v>
      </c>
    </row>
    <row r="51" spans="2:2">
      <c r="B51" s="794" t="s">
        <v>651</v>
      </c>
    </row>
  </sheetData>
  <mergeCells count="6">
    <mergeCell ref="B1:P1"/>
    <mergeCell ref="B3:P3"/>
    <mergeCell ref="B10:F10"/>
    <mergeCell ref="G10:I10"/>
    <mergeCell ref="K10:P10"/>
    <mergeCell ref="B2:P2"/>
  </mergeCells>
  <pageMargins left="0.7" right="0.7" top="0.75" bottom="0.75" header="0.3" footer="0.3"/>
  <pageSetup scale="10" orientation="landscape" r:id="rId1"/>
  <headerFooter>
    <oddHeader>&amp;RCompliance Filing Attachment 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544E2-700C-43B7-AD07-B1F0982B9BFE}">
  <sheetPr>
    <tabColor rgb="FF92D050"/>
  </sheetPr>
  <dimension ref="A1:M60"/>
  <sheetViews>
    <sheetView zoomScale="90" zoomScaleNormal="90" zoomScalePageLayoutView="70" workbookViewId="0">
      <selection sqref="A1:K1"/>
    </sheetView>
  </sheetViews>
  <sheetFormatPr defaultRowHeight="15"/>
  <cols>
    <col min="1" max="1" width="21.6640625" customWidth="1"/>
    <col min="2" max="2" width="26.21875" customWidth="1"/>
    <col min="3" max="3" width="2.21875" customWidth="1"/>
    <col min="4" max="4" width="20.109375" customWidth="1"/>
    <col min="5" max="5" width="1.6640625" customWidth="1"/>
    <col min="6" max="6" width="18.6640625" customWidth="1"/>
    <col min="7" max="7" width="12.6640625" customWidth="1"/>
    <col min="8" max="8" width="15" customWidth="1"/>
    <col min="9" max="9" width="15.6640625" customWidth="1"/>
    <col min="10" max="10" width="1.44140625" customWidth="1"/>
    <col min="11" max="11" width="13.44140625" customWidth="1"/>
    <col min="13" max="13" width="8.44140625" bestFit="1" customWidth="1"/>
  </cols>
  <sheetData>
    <row r="1" spans="1:12" s="184" customFormat="1" ht="15.75">
      <c r="A1" s="1001" t="s">
        <v>604</v>
      </c>
      <c r="B1" s="1001"/>
      <c r="C1" s="1001"/>
      <c r="D1" s="1001"/>
      <c r="E1" s="1001"/>
      <c r="F1" s="1001"/>
      <c r="G1" s="1001"/>
      <c r="H1" s="1001"/>
      <c r="I1" s="1001"/>
      <c r="J1" s="1001"/>
      <c r="K1" s="1001"/>
    </row>
    <row r="2" spans="1:12" s="184" customFormat="1" ht="15.75">
      <c r="A2" s="1013" t="s">
        <v>561</v>
      </c>
      <c r="B2" s="1013"/>
      <c r="C2" s="1013"/>
      <c r="D2" s="1013"/>
      <c r="E2" s="1013"/>
      <c r="F2" s="1013"/>
      <c r="G2" s="1013"/>
      <c r="H2" s="1013"/>
      <c r="I2" s="1013"/>
      <c r="J2" s="1013"/>
      <c r="K2" s="1013"/>
    </row>
    <row r="3" spans="1:12" s="184" customFormat="1" ht="15.75">
      <c r="A3" s="1013" t="str">
        <f>'Appendix A'!$D$9</f>
        <v>HURLEY AVENUE PROJECT - SYSTEM DELIVERABILITY UPGRADE</v>
      </c>
      <c r="B3" s="1013"/>
      <c r="C3" s="1013"/>
      <c r="D3" s="1013"/>
      <c r="E3" s="1013"/>
      <c r="F3" s="1013"/>
      <c r="G3" s="1013"/>
      <c r="H3" s="1013"/>
      <c r="I3" s="1013"/>
      <c r="J3" s="1013"/>
      <c r="K3" s="1013"/>
    </row>
    <row r="4" spans="1:12">
      <c r="A4" s="205"/>
      <c r="B4" s="205"/>
      <c r="C4" s="205"/>
      <c r="D4" s="205"/>
      <c r="E4" s="205"/>
      <c r="F4" s="205"/>
      <c r="G4" s="205"/>
      <c r="H4" s="205"/>
      <c r="I4" s="205"/>
      <c r="J4" s="205"/>
      <c r="K4" s="205"/>
    </row>
    <row r="5" spans="1:12">
      <c r="A5" s="205"/>
      <c r="B5" s="205"/>
      <c r="C5" s="205"/>
      <c r="D5" s="205"/>
      <c r="E5" s="205"/>
      <c r="F5" s="205"/>
      <c r="G5" s="205"/>
      <c r="H5" s="205"/>
      <c r="I5" s="205"/>
      <c r="J5" s="205"/>
      <c r="K5" s="205"/>
    </row>
    <row r="6" spans="1:12" ht="15.75">
      <c r="A6" s="243" t="s">
        <v>125</v>
      </c>
      <c r="B6" s="244"/>
      <c r="C6" s="244"/>
      <c r="D6" s="243" t="s">
        <v>125</v>
      </c>
      <c r="E6" s="206"/>
      <c r="F6" s="206"/>
      <c r="G6" s="206"/>
      <c r="H6" s="206"/>
      <c r="J6" s="206"/>
      <c r="K6" s="206"/>
      <c r="L6" s="184"/>
    </row>
    <row r="7" spans="1:12" ht="31.5">
      <c r="A7" s="787" t="s">
        <v>414</v>
      </c>
      <c r="B7" s="206"/>
      <c r="C7" s="206"/>
      <c r="D7" s="787" t="s">
        <v>413</v>
      </c>
      <c r="E7" s="206"/>
      <c r="F7" s="206"/>
      <c r="G7" s="787" t="s">
        <v>190</v>
      </c>
      <c r="J7" s="190"/>
      <c r="K7" s="190"/>
      <c r="L7" s="184"/>
    </row>
    <row r="8" spans="1:12" ht="15.75">
      <c r="A8" s="785"/>
      <c r="B8" s="206"/>
      <c r="C8" s="206"/>
      <c r="D8" s="785"/>
      <c r="E8" s="206"/>
      <c r="F8" s="206"/>
      <c r="G8" s="206"/>
      <c r="J8" s="190"/>
      <c r="K8" s="190"/>
      <c r="L8" s="184"/>
    </row>
    <row r="9" spans="1:12" ht="15.75">
      <c r="A9" s="243">
        <v>0</v>
      </c>
      <c r="B9" s="193" t="s">
        <v>217</v>
      </c>
      <c r="C9" s="191"/>
      <c r="D9" s="243">
        <v>0</v>
      </c>
      <c r="E9" s="192"/>
      <c r="F9" s="193" t="s">
        <v>218</v>
      </c>
      <c r="G9" s="786">
        <f>IF(D9=0,0,A9-D9)</f>
        <v>0</v>
      </c>
      <c r="J9" s="190"/>
      <c r="K9" s="190"/>
      <c r="L9" s="184"/>
    </row>
    <row r="10" spans="1:12" ht="15.75">
      <c r="A10" s="192"/>
      <c r="B10" s="191"/>
      <c r="C10" s="191"/>
      <c r="D10" s="192"/>
      <c r="E10" s="192"/>
      <c r="F10" s="191"/>
      <c r="G10" s="192"/>
      <c r="H10" s="190"/>
      <c r="I10" s="190"/>
      <c r="J10" s="190"/>
      <c r="K10" s="190"/>
      <c r="L10" s="184"/>
    </row>
    <row r="11" spans="1:12" ht="16.5" thickBot="1">
      <c r="A11" s="194"/>
      <c r="B11" s="195"/>
      <c r="C11" s="195"/>
      <c r="D11" s="194"/>
      <c r="E11" s="194"/>
      <c r="F11" s="195"/>
      <c r="G11" s="194"/>
      <c r="H11" s="196"/>
      <c r="I11" s="196"/>
      <c r="J11" s="196"/>
      <c r="K11" s="196"/>
      <c r="L11" s="184"/>
    </row>
    <row r="12" spans="1:12" ht="8.25" customHeight="1">
      <c r="A12" s="207"/>
      <c r="B12" s="191"/>
      <c r="C12" s="191"/>
      <c r="D12" s="192"/>
      <c r="E12" s="192"/>
      <c r="F12" s="191"/>
      <c r="G12" s="192"/>
      <c r="H12" s="190"/>
      <c r="I12" s="190"/>
      <c r="J12" s="190"/>
      <c r="K12" s="190"/>
      <c r="L12" s="184"/>
    </row>
    <row r="13" spans="1:12" ht="53.25" customHeight="1">
      <c r="A13" s="197" t="s">
        <v>191</v>
      </c>
      <c r="B13" s="191"/>
      <c r="C13" s="191"/>
      <c r="D13" s="198" t="s">
        <v>192</v>
      </c>
      <c r="E13" s="192"/>
      <c r="F13" s="198" t="s">
        <v>292</v>
      </c>
      <c r="G13" s="193" t="s">
        <v>193</v>
      </c>
      <c r="H13" s="199" t="s">
        <v>194</v>
      </c>
      <c r="I13" s="198" t="s">
        <v>195</v>
      </c>
      <c r="J13" s="200"/>
      <c r="K13" s="198" t="s">
        <v>196</v>
      </c>
      <c r="L13" s="184"/>
    </row>
    <row r="14" spans="1:12" ht="15.75">
      <c r="A14" s="197"/>
      <c r="B14" s="191"/>
      <c r="C14" s="191"/>
      <c r="D14" s="204"/>
      <c r="E14" s="201"/>
      <c r="F14" s="246">
        <f>+'7a-Interest Rate'!F20</f>
        <v>0</v>
      </c>
      <c r="G14" s="192"/>
      <c r="H14" s="204"/>
      <c r="I14" s="204"/>
      <c r="J14" s="204"/>
      <c r="K14" s="204"/>
      <c r="L14" s="184"/>
    </row>
    <row r="15" spans="1:12" ht="15.75">
      <c r="A15" s="197"/>
      <c r="B15" s="191"/>
      <c r="C15" s="191"/>
      <c r="D15" s="204"/>
      <c r="E15" s="201"/>
      <c r="F15" s="201"/>
      <c r="G15" s="192"/>
      <c r="H15" s="204"/>
      <c r="I15" s="204"/>
      <c r="J15" s="204"/>
      <c r="K15" s="204"/>
      <c r="L15" s="184"/>
    </row>
    <row r="16" spans="1:12" ht="15.75">
      <c r="A16" s="197" t="s">
        <v>319</v>
      </c>
      <c r="B16" s="191"/>
      <c r="C16" s="191"/>
      <c r="D16" s="204"/>
      <c r="E16" s="201"/>
      <c r="F16" s="201"/>
      <c r="G16" s="192"/>
      <c r="H16" s="204"/>
      <c r="I16" s="204"/>
      <c r="J16" s="204"/>
      <c r="K16" s="204"/>
      <c r="L16" s="184"/>
    </row>
    <row r="17" spans="1:12" ht="15.75">
      <c r="A17" s="214" t="s">
        <v>318</v>
      </c>
      <c r="B17" s="191"/>
      <c r="C17" s="191"/>
      <c r="D17" s="191"/>
      <c r="E17" s="191"/>
      <c r="F17" s="191"/>
      <c r="G17" s="204"/>
      <c r="H17" s="204"/>
      <c r="I17" s="204"/>
      <c r="J17" s="204"/>
      <c r="K17" s="204"/>
      <c r="L17" s="184"/>
    </row>
    <row r="18" spans="1:12" ht="15.75">
      <c r="A18" s="214" t="s">
        <v>320</v>
      </c>
      <c r="B18" s="191"/>
      <c r="C18" s="191"/>
      <c r="D18" s="191"/>
      <c r="E18" s="191"/>
      <c r="F18" s="191"/>
      <c r="G18" s="204"/>
      <c r="H18" s="204"/>
      <c r="I18" s="204"/>
      <c r="J18" s="204"/>
      <c r="K18" s="204"/>
      <c r="L18" s="184"/>
    </row>
    <row r="19" spans="1:12" ht="15.75">
      <c r="A19" s="208"/>
      <c r="B19" s="191"/>
      <c r="C19" s="191"/>
      <c r="D19" s="191"/>
      <c r="E19" s="191"/>
      <c r="F19" s="204"/>
      <c r="G19" s="204"/>
      <c r="H19" s="193"/>
      <c r="I19" s="191"/>
      <c r="J19" s="191"/>
      <c r="K19" s="191"/>
      <c r="L19" s="184"/>
    </row>
    <row r="20" spans="1:12" ht="15.75">
      <c r="A20" s="208" t="s">
        <v>197</v>
      </c>
      <c r="B20" s="714" t="s">
        <v>125</v>
      </c>
      <c r="C20" s="191"/>
      <c r="D20" s="191"/>
      <c r="E20" s="191"/>
      <c r="F20" s="204"/>
      <c r="G20" s="204"/>
      <c r="H20" s="193" t="s">
        <v>198</v>
      </c>
      <c r="I20" s="191"/>
      <c r="J20" s="191"/>
      <c r="K20" s="191"/>
      <c r="L20" s="184"/>
    </row>
    <row r="21" spans="1:12" ht="15.75">
      <c r="A21" s="715" t="s">
        <v>199</v>
      </c>
      <c r="B21" s="716">
        <v>2018</v>
      </c>
      <c r="C21" s="206"/>
      <c r="D21" s="209">
        <f>G9/12</f>
        <v>0</v>
      </c>
      <c r="E21" s="209"/>
      <c r="F21" s="210">
        <f>+F14</f>
        <v>0</v>
      </c>
      <c r="G21" s="209">
        <v>12</v>
      </c>
      <c r="H21" s="209">
        <f>F21*D21*G21*-1</f>
        <v>0</v>
      </c>
      <c r="I21" s="209"/>
      <c r="J21" s="209"/>
      <c r="K21" s="209">
        <f>(-H21+D21)*-1</f>
        <v>0</v>
      </c>
      <c r="L21" s="184"/>
    </row>
    <row r="22" spans="1:12" ht="15.75">
      <c r="A22" s="715" t="s">
        <v>138</v>
      </c>
      <c r="B22" s="726">
        <f>+$B$21</f>
        <v>2018</v>
      </c>
      <c r="C22" s="206"/>
      <c r="D22" s="209">
        <f>+D21</f>
        <v>0</v>
      </c>
      <c r="E22" s="209"/>
      <c r="F22" s="210">
        <f>+F21</f>
        <v>0</v>
      </c>
      <c r="G22" s="245">
        <f t="shared" ref="G22:G32" si="0">+G21-1</f>
        <v>11</v>
      </c>
      <c r="H22" s="209">
        <f t="shared" ref="H22:H32" si="1">F22*D22*G22*-1</f>
        <v>0</v>
      </c>
      <c r="I22" s="209"/>
      <c r="J22" s="209"/>
      <c r="K22" s="209">
        <f t="shared" ref="K22:K32" si="2">(-H22+D22)*-1</f>
        <v>0</v>
      </c>
      <c r="L22" s="184"/>
    </row>
    <row r="23" spans="1:12" ht="15.75">
      <c r="A23" s="715" t="s">
        <v>137</v>
      </c>
      <c r="B23" s="726">
        <f t="shared" ref="B23:B27" si="3">+$B$21</f>
        <v>2018</v>
      </c>
      <c r="C23" s="206"/>
      <c r="D23" s="209">
        <f t="shared" ref="D23:D32" si="4">+D22</f>
        <v>0</v>
      </c>
      <c r="E23" s="209"/>
      <c r="F23" s="210">
        <f t="shared" ref="F23:F32" si="5">+F22</f>
        <v>0</v>
      </c>
      <c r="G23" s="245">
        <f t="shared" si="0"/>
        <v>10</v>
      </c>
      <c r="H23" s="209">
        <f t="shared" si="1"/>
        <v>0</v>
      </c>
      <c r="I23" s="209"/>
      <c r="J23" s="209"/>
      <c r="K23" s="209">
        <f t="shared" si="2"/>
        <v>0</v>
      </c>
      <c r="L23" s="184"/>
    </row>
    <row r="24" spans="1:12" ht="15.75">
      <c r="A24" s="715" t="s">
        <v>136</v>
      </c>
      <c r="B24" s="726">
        <f t="shared" si="3"/>
        <v>2018</v>
      </c>
      <c r="C24" s="206"/>
      <c r="D24" s="209">
        <f t="shared" si="4"/>
        <v>0</v>
      </c>
      <c r="E24" s="209"/>
      <c r="F24" s="210">
        <f t="shared" si="5"/>
        <v>0</v>
      </c>
      <c r="G24" s="245">
        <f t="shared" si="0"/>
        <v>9</v>
      </c>
      <c r="H24" s="209">
        <f t="shared" si="1"/>
        <v>0</v>
      </c>
      <c r="I24" s="209"/>
      <c r="J24" s="209"/>
      <c r="K24" s="209">
        <f t="shared" si="2"/>
        <v>0</v>
      </c>
      <c r="L24" s="184"/>
    </row>
    <row r="25" spans="1:12" ht="15.75">
      <c r="A25" s="715" t="s">
        <v>148</v>
      </c>
      <c r="B25" s="726">
        <f t="shared" si="3"/>
        <v>2018</v>
      </c>
      <c r="C25" s="206"/>
      <c r="D25" s="209">
        <f t="shared" si="4"/>
        <v>0</v>
      </c>
      <c r="E25" s="209"/>
      <c r="F25" s="210">
        <f t="shared" si="5"/>
        <v>0</v>
      </c>
      <c r="G25" s="245">
        <f t="shared" si="0"/>
        <v>8</v>
      </c>
      <c r="H25" s="209">
        <f t="shared" si="1"/>
        <v>0</v>
      </c>
      <c r="I25" s="209"/>
      <c r="J25" s="209"/>
      <c r="K25" s="209">
        <f t="shared" si="2"/>
        <v>0</v>
      </c>
      <c r="L25" s="184"/>
    </row>
    <row r="26" spans="1:12" ht="15.75">
      <c r="A26" s="715" t="s">
        <v>134</v>
      </c>
      <c r="B26" s="726">
        <f t="shared" si="3"/>
        <v>2018</v>
      </c>
      <c r="C26" s="206"/>
      <c r="D26" s="209">
        <f t="shared" si="4"/>
        <v>0</v>
      </c>
      <c r="E26" s="209"/>
      <c r="F26" s="210">
        <f t="shared" si="5"/>
        <v>0</v>
      </c>
      <c r="G26" s="245">
        <f t="shared" si="0"/>
        <v>7</v>
      </c>
      <c r="H26" s="209">
        <f t="shared" si="1"/>
        <v>0</v>
      </c>
      <c r="I26" s="209"/>
      <c r="J26" s="209"/>
      <c r="K26" s="209">
        <f t="shared" si="2"/>
        <v>0</v>
      </c>
      <c r="L26" s="184"/>
    </row>
    <row r="27" spans="1:12" ht="15.75">
      <c r="A27" s="715" t="s">
        <v>132</v>
      </c>
      <c r="B27" s="726">
        <f t="shared" si="3"/>
        <v>2018</v>
      </c>
      <c r="C27" s="206"/>
      <c r="D27" s="209">
        <f t="shared" si="4"/>
        <v>0</v>
      </c>
      <c r="E27" s="209"/>
      <c r="F27" s="210">
        <f t="shared" si="5"/>
        <v>0</v>
      </c>
      <c r="G27" s="245">
        <f t="shared" si="0"/>
        <v>6</v>
      </c>
      <c r="H27" s="209">
        <f t="shared" si="1"/>
        <v>0</v>
      </c>
      <c r="I27" s="209"/>
      <c r="J27" s="209"/>
      <c r="K27" s="209">
        <f t="shared" si="2"/>
        <v>0</v>
      </c>
      <c r="L27" s="184"/>
    </row>
    <row r="28" spans="1:12" ht="15.75">
      <c r="A28" s="715" t="s">
        <v>543</v>
      </c>
      <c r="B28" s="726">
        <f>+B27+1</f>
        <v>2019</v>
      </c>
      <c r="C28" s="206"/>
      <c r="D28" s="209">
        <f t="shared" si="4"/>
        <v>0</v>
      </c>
      <c r="E28" s="209"/>
      <c r="F28" s="210">
        <f t="shared" si="5"/>
        <v>0</v>
      </c>
      <c r="G28" s="245">
        <f t="shared" si="0"/>
        <v>5</v>
      </c>
      <c r="H28" s="209">
        <f t="shared" si="1"/>
        <v>0</v>
      </c>
      <c r="I28" s="209"/>
      <c r="J28" s="209"/>
      <c r="K28" s="209">
        <f t="shared" si="2"/>
        <v>0</v>
      </c>
      <c r="L28" s="184"/>
    </row>
    <row r="29" spans="1:12" ht="15.75">
      <c r="A29" s="715" t="s">
        <v>141</v>
      </c>
      <c r="B29" s="726">
        <f>+$B$28</f>
        <v>2019</v>
      </c>
      <c r="C29" s="206"/>
      <c r="D29" s="209">
        <f t="shared" si="4"/>
        <v>0</v>
      </c>
      <c r="E29" s="209"/>
      <c r="F29" s="210">
        <f t="shared" si="5"/>
        <v>0</v>
      </c>
      <c r="G29" s="245">
        <f t="shared" si="0"/>
        <v>4</v>
      </c>
      <c r="H29" s="209">
        <f t="shared" si="1"/>
        <v>0</v>
      </c>
      <c r="I29" s="209"/>
      <c r="J29" s="209"/>
      <c r="K29" s="209">
        <f t="shared" si="2"/>
        <v>0</v>
      </c>
      <c r="L29" s="184"/>
    </row>
    <row r="30" spans="1:12" ht="15.75">
      <c r="A30" s="715" t="s">
        <v>140</v>
      </c>
      <c r="B30" s="726">
        <f t="shared" ref="B30:B32" si="6">+$B$28</f>
        <v>2019</v>
      </c>
      <c r="C30" s="206"/>
      <c r="D30" s="209">
        <f t="shared" si="4"/>
        <v>0</v>
      </c>
      <c r="E30" s="209"/>
      <c r="F30" s="210">
        <f t="shared" si="5"/>
        <v>0</v>
      </c>
      <c r="G30" s="245">
        <f t="shared" si="0"/>
        <v>3</v>
      </c>
      <c r="H30" s="209">
        <f t="shared" si="1"/>
        <v>0</v>
      </c>
      <c r="I30" s="209"/>
      <c r="J30" s="209"/>
      <c r="K30" s="209">
        <f t="shared" si="2"/>
        <v>0</v>
      </c>
      <c r="L30" s="184"/>
    </row>
    <row r="31" spans="1:12" ht="15.75">
      <c r="A31" s="715" t="s">
        <v>124</v>
      </c>
      <c r="B31" s="726">
        <f t="shared" si="6"/>
        <v>2019</v>
      </c>
      <c r="C31" s="206"/>
      <c r="D31" s="209">
        <f t="shared" si="4"/>
        <v>0</v>
      </c>
      <c r="E31" s="209"/>
      <c r="F31" s="210">
        <f t="shared" si="5"/>
        <v>0</v>
      </c>
      <c r="G31" s="245">
        <f t="shared" si="0"/>
        <v>2</v>
      </c>
      <c r="H31" s="209">
        <f t="shared" si="1"/>
        <v>0</v>
      </c>
      <c r="I31" s="209"/>
      <c r="J31" s="209"/>
      <c r="K31" s="209">
        <f t="shared" si="2"/>
        <v>0</v>
      </c>
      <c r="L31" s="184"/>
    </row>
    <row r="32" spans="1:12" ht="15.75">
      <c r="A32" s="715" t="s">
        <v>123</v>
      </c>
      <c r="B32" s="726">
        <f t="shared" si="6"/>
        <v>2019</v>
      </c>
      <c r="C32" s="206"/>
      <c r="D32" s="209">
        <f t="shared" si="4"/>
        <v>0</v>
      </c>
      <c r="E32" s="209"/>
      <c r="F32" s="210">
        <f t="shared" si="5"/>
        <v>0</v>
      </c>
      <c r="G32" s="245">
        <f t="shared" si="0"/>
        <v>1</v>
      </c>
      <c r="H32" s="202">
        <f t="shared" si="1"/>
        <v>0</v>
      </c>
      <c r="I32" s="209"/>
      <c r="J32" s="209"/>
      <c r="K32" s="209">
        <f t="shared" si="2"/>
        <v>0</v>
      </c>
      <c r="L32" s="184"/>
    </row>
    <row r="33" spans="1:13" ht="15.75">
      <c r="A33" s="206"/>
      <c r="B33" s="206"/>
      <c r="C33" s="206"/>
      <c r="D33" s="209"/>
      <c r="E33" s="209"/>
      <c r="F33" s="210"/>
      <c r="G33" s="245"/>
      <c r="H33" s="209">
        <f>SUM(H21:H32)</f>
        <v>0</v>
      </c>
      <c r="I33" s="209"/>
      <c r="J33" s="209"/>
      <c r="K33" s="211">
        <f>SUM(K21:K32)</f>
        <v>0</v>
      </c>
      <c r="L33" s="184"/>
    </row>
    <row r="34" spans="1:13" ht="15.75">
      <c r="A34" s="206"/>
      <c r="B34" s="206"/>
      <c r="C34" s="206"/>
      <c r="D34" s="209"/>
      <c r="E34" s="209"/>
      <c r="F34" s="210"/>
      <c r="G34" s="209"/>
      <c r="H34" s="209"/>
      <c r="I34" s="209" t="s">
        <v>22</v>
      </c>
      <c r="J34" s="209"/>
      <c r="K34" s="184"/>
      <c r="L34" s="184"/>
    </row>
    <row r="35" spans="1:13" ht="15.75">
      <c r="A35" s="206"/>
      <c r="B35" s="206"/>
      <c r="C35" s="206"/>
      <c r="D35" s="192"/>
      <c r="E35" s="192"/>
      <c r="F35" s="210"/>
      <c r="G35" s="209"/>
      <c r="H35" s="212" t="s">
        <v>200</v>
      </c>
      <c r="I35" s="209"/>
      <c r="J35" s="209"/>
      <c r="K35" s="209"/>
      <c r="L35" s="184"/>
    </row>
    <row r="36" spans="1:13" ht="15.75">
      <c r="A36" s="206" t="s">
        <v>544</v>
      </c>
      <c r="B36" s="717" t="s">
        <v>545</v>
      </c>
      <c r="C36" s="206"/>
      <c r="D36" s="192">
        <f>K33</f>
        <v>0</v>
      </c>
      <c r="E36" s="192"/>
      <c r="F36" s="210">
        <f>+F32</f>
        <v>0</v>
      </c>
      <c r="G36" s="209">
        <v>12</v>
      </c>
      <c r="H36" s="209">
        <f>+G36*F36*D36</f>
        <v>0</v>
      </c>
      <c r="I36" s="209"/>
      <c r="J36" s="209"/>
      <c r="K36" s="211">
        <f>+D36+H36</f>
        <v>0</v>
      </c>
      <c r="L36" s="184"/>
    </row>
    <row r="37" spans="1:13" ht="15.75">
      <c r="A37" s="206"/>
      <c r="B37" s="206"/>
      <c r="C37" s="206"/>
      <c r="D37" s="192"/>
      <c r="E37" s="192"/>
      <c r="F37" s="210"/>
      <c r="G37" s="206"/>
      <c r="H37" s="209"/>
      <c r="I37" s="209"/>
      <c r="J37" s="209"/>
      <c r="K37" s="209"/>
      <c r="L37" s="184"/>
    </row>
    <row r="38" spans="1:13" ht="15.75">
      <c r="A38" s="213" t="s">
        <v>201</v>
      </c>
      <c r="B38" s="206"/>
      <c r="C38" s="206"/>
      <c r="D38" s="209"/>
      <c r="E38" s="209"/>
      <c r="F38" s="210"/>
      <c r="G38" s="206"/>
      <c r="H38" s="212" t="s">
        <v>198</v>
      </c>
      <c r="I38" s="209"/>
      <c r="J38" s="209"/>
      <c r="K38" s="209"/>
      <c r="L38" s="184"/>
    </row>
    <row r="39" spans="1:13" ht="15.75">
      <c r="A39" s="715" t="s">
        <v>199</v>
      </c>
      <c r="B39" s="718">
        <v>2020</v>
      </c>
      <c r="C39" s="206"/>
      <c r="D39" s="214">
        <f>-K36</f>
        <v>0</v>
      </c>
      <c r="E39" s="192"/>
      <c r="F39" s="210">
        <f>+F32</f>
        <v>0</v>
      </c>
      <c r="G39" s="206"/>
      <c r="H39" s="209">
        <f xml:space="preserve"> -F39*D39</f>
        <v>0</v>
      </c>
      <c r="I39" s="209">
        <f>PMT(F39,12,K$36)</f>
        <v>0</v>
      </c>
      <c r="J39" s="209"/>
      <c r="K39" s="209">
        <f>(+D39+D39*F39-I39)*-1</f>
        <v>0</v>
      </c>
      <c r="L39" s="185"/>
      <c r="M39" s="186"/>
    </row>
    <row r="40" spans="1:13" ht="15.75">
      <c r="A40" s="715" t="s">
        <v>138</v>
      </c>
      <c r="B40" s="719">
        <f>+$B$39</f>
        <v>2020</v>
      </c>
      <c r="C40" s="206"/>
      <c r="D40" s="192">
        <f>-K39</f>
        <v>0</v>
      </c>
      <c r="E40" s="192"/>
      <c r="F40" s="210">
        <f>+F39</f>
        <v>0</v>
      </c>
      <c r="G40" s="206"/>
      <c r="H40" s="209">
        <f t="shared" ref="H40:H50" si="7" xml:space="preserve"> -F40*D40</f>
        <v>0</v>
      </c>
      <c r="I40" s="209">
        <f>I39</f>
        <v>0</v>
      </c>
      <c r="J40" s="209"/>
      <c r="K40" s="209">
        <f t="shared" ref="K40:K50" si="8">(+D40+D40*F40-I40)*-1</f>
        <v>0</v>
      </c>
      <c r="L40" s="185"/>
      <c r="M40" s="186"/>
    </row>
    <row r="41" spans="1:13" ht="15.75">
      <c r="A41" s="715" t="s">
        <v>137</v>
      </c>
      <c r="B41" s="719">
        <f t="shared" ref="B41:B45" si="9">+$B$39</f>
        <v>2020</v>
      </c>
      <c r="C41" s="206"/>
      <c r="D41" s="192">
        <f t="shared" ref="D41:D50" si="10">-K40</f>
        <v>0</v>
      </c>
      <c r="E41" s="192"/>
      <c r="F41" s="210">
        <f t="shared" ref="F41:F50" si="11">+F40</f>
        <v>0</v>
      </c>
      <c r="G41" s="206"/>
      <c r="H41" s="209">
        <f t="shared" si="7"/>
        <v>0</v>
      </c>
      <c r="I41" s="209">
        <f t="shared" ref="I41:I50" si="12">I40</f>
        <v>0</v>
      </c>
      <c r="J41" s="209"/>
      <c r="K41" s="209">
        <f t="shared" si="8"/>
        <v>0</v>
      </c>
      <c r="L41" s="185"/>
      <c r="M41" s="186"/>
    </row>
    <row r="42" spans="1:13" ht="15.75">
      <c r="A42" s="715" t="s">
        <v>136</v>
      </c>
      <c r="B42" s="719">
        <f t="shared" si="9"/>
        <v>2020</v>
      </c>
      <c r="C42" s="206"/>
      <c r="D42" s="192">
        <f t="shared" si="10"/>
        <v>0</v>
      </c>
      <c r="E42" s="192"/>
      <c r="F42" s="210">
        <f t="shared" si="11"/>
        <v>0</v>
      </c>
      <c r="G42" s="206"/>
      <c r="H42" s="209">
        <f t="shared" si="7"/>
        <v>0</v>
      </c>
      <c r="I42" s="209">
        <f t="shared" si="12"/>
        <v>0</v>
      </c>
      <c r="J42" s="209"/>
      <c r="K42" s="209">
        <f t="shared" si="8"/>
        <v>0</v>
      </c>
      <c r="L42" s="185"/>
      <c r="M42" s="186"/>
    </row>
    <row r="43" spans="1:13" ht="15.75">
      <c r="A43" s="715" t="s">
        <v>148</v>
      </c>
      <c r="B43" s="719">
        <f t="shared" si="9"/>
        <v>2020</v>
      </c>
      <c r="C43" s="206"/>
      <c r="D43" s="192">
        <f t="shared" si="10"/>
        <v>0</v>
      </c>
      <c r="E43" s="192"/>
      <c r="F43" s="210">
        <f t="shared" si="11"/>
        <v>0</v>
      </c>
      <c r="G43" s="206"/>
      <c r="H43" s="209">
        <f t="shared" si="7"/>
        <v>0</v>
      </c>
      <c r="I43" s="209">
        <f t="shared" si="12"/>
        <v>0</v>
      </c>
      <c r="J43" s="209"/>
      <c r="K43" s="209">
        <f t="shared" si="8"/>
        <v>0</v>
      </c>
      <c r="L43" s="185"/>
      <c r="M43" s="186"/>
    </row>
    <row r="44" spans="1:13" ht="15.75">
      <c r="A44" s="715" t="s">
        <v>134</v>
      </c>
      <c r="B44" s="719">
        <f t="shared" si="9"/>
        <v>2020</v>
      </c>
      <c r="C44" s="204"/>
      <c r="D44" s="192">
        <f t="shared" si="10"/>
        <v>0</v>
      </c>
      <c r="E44" s="192"/>
      <c r="F44" s="210">
        <f t="shared" si="11"/>
        <v>0</v>
      </c>
      <c r="G44" s="206"/>
      <c r="H44" s="209">
        <f t="shared" si="7"/>
        <v>0</v>
      </c>
      <c r="I44" s="209">
        <f t="shared" si="12"/>
        <v>0</v>
      </c>
      <c r="J44" s="209"/>
      <c r="K44" s="209">
        <f t="shared" si="8"/>
        <v>0</v>
      </c>
      <c r="L44" s="185"/>
      <c r="M44" s="186"/>
    </row>
    <row r="45" spans="1:13" ht="15.75">
      <c r="A45" s="715" t="s">
        <v>132</v>
      </c>
      <c r="B45" s="719">
        <f t="shared" si="9"/>
        <v>2020</v>
      </c>
      <c r="C45" s="206"/>
      <c r="D45" s="192">
        <f t="shared" si="10"/>
        <v>0</v>
      </c>
      <c r="E45" s="192"/>
      <c r="F45" s="210">
        <f t="shared" si="11"/>
        <v>0</v>
      </c>
      <c r="G45" s="206"/>
      <c r="H45" s="209">
        <f t="shared" si="7"/>
        <v>0</v>
      </c>
      <c r="I45" s="209">
        <f t="shared" si="12"/>
        <v>0</v>
      </c>
      <c r="J45" s="209"/>
      <c r="K45" s="209">
        <f t="shared" si="8"/>
        <v>0</v>
      </c>
      <c r="L45" s="185"/>
      <c r="M45" s="186"/>
    </row>
    <row r="46" spans="1:13" ht="15.75">
      <c r="A46" s="715" t="s">
        <v>543</v>
      </c>
      <c r="B46" s="719">
        <f>+B45+1</f>
        <v>2021</v>
      </c>
      <c r="C46" s="206"/>
      <c r="D46" s="192">
        <f t="shared" si="10"/>
        <v>0</v>
      </c>
      <c r="E46" s="192"/>
      <c r="F46" s="210">
        <f t="shared" si="11"/>
        <v>0</v>
      </c>
      <c r="G46" s="206"/>
      <c r="H46" s="209">
        <f t="shared" si="7"/>
        <v>0</v>
      </c>
      <c r="I46" s="209">
        <f t="shared" si="12"/>
        <v>0</v>
      </c>
      <c r="J46" s="209"/>
      <c r="K46" s="209">
        <f t="shared" si="8"/>
        <v>0</v>
      </c>
      <c r="L46" s="185"/>
      <c r="M46" s="186"/>
    </row>
    <row r="47" spans="1:13" ht="15.75">
      <c r="A47" s="715" t="s">
        <v>141</v>
      </c>
      <c r="B47" s="719">
        <f>+$B$46</f>
        <v>2021</v>
      </c>
      <c r="C47" s="206"/>
      <c r="D47" s="192">
        <f t="shared" si="10"/>
        <v>0</v>
      </c>
      <c r="E47" s="192"/>
      <c r="F47" s="210">
        <f t="shared" si="11"/>
        <v>0</v>
      </c>
      <c r="G47" s="206"/>
      <c r="H47" s="209">
        <f t="shared" si="7"/>
        <v>0</v>
      </c>
      <c r="I47" s="209">
        <f t="shared" si="12"/>
        <v>0</v>
      </c>
      <c r="J47" s="209"/>
      <c r="K47" s="209">
        <f t="shared" si="8"/>
        <v>0</v>
      </c>
      <c r="L47" s="185"/>
      <c r="M47" s="186"/>
    </row>
    <row r="48" spans="1:13" ht="15.75">
      <c r="A48" s="715" t="s">
        <v>140</v>
      </c>
      <c r="B48" s="719">
        <f t="shared" ref="B48:B50" si="13">+$B$46</f>
        <v>2021</v>
      </c>
      <c r="C48" s="206"/>
      <c r="D48" s="192">
        <f t="shared" si="10"/>
        <v>0</v>
      </c>
      <c r="E48" s="192"/>
      <c r="F48" s="210">
        <f t="shared" si="11"/>
        <v>0</v>
      </c>
      <c r="G48" s="206"/>
      <c r="H48" s="209">
        <f t="shared" si="7"/>
        <v>0</v>
      </c>
      <c r="I48" s="209">
        <f t="shared" si="12"/>
        <v>0</v>
      </c>
      <c r="J48" s="209"/>
      <c r="K48" s="209">
        <f t="shared" si="8"/>
        <v>0</v>
      </c>
      <c r="L48" s="185"/>
      <c r="M48" s="186"/>
    </row>
    <row r="49" spans="1:13" ht="15.75">
      <c r="A49" s="715" t="s">
        <v>124</v>
      </c>
      <c r="B49" s="719">
        <f t="shared" si="13"/>
        <v>2021</v>
      </c>
      <c r="C49" s="206"/>
      <c r="D49" s="192">
        <f t="shared" si="10"/>
        <v>0</v>
      </c>
      <c r="E49" s="192"/>
      <c r="F49" s="210">
        <f t="shared" si="11"/>
        <v>0</v>
      </c>
      <c r="G49" s="206"/>
      <c r="H49" s="209">
        <f t="shared" si="7"/>
        <v>0</v>
      </c>
      <c r="I49" s="209">
        <f t="shared" si="12"/>
        <v>0</v>
      </c>
      <c r="J49" s="209"/>
      <c r="K49" s="209">
        <f t="shared" si="8"/>
        <v>0</v>
      </c>
      <c r="L49" s="185"/>
      <c r="M49" s="186"/>
    </row>
    <row r="50" spans="1:13" ht="15.75">
      <c r="A50" s="715" t="s">
        <v>123</v>
      </c>
      <c r="B50" s="719">
        <f t="shared" si="13"/>
        <v>2021</v>
      </c>
      <c r="C50" s="206"/>
      <c r="D50" s="192">
        <f t="shared" si="10"/>
        <v>0</v>
      </c>
      <c r="E50" s="192"/>
      <c r="F50" s="210">
        <f t="shared" si="11"/>
        <v>0</v>
      </c>
      <c r="G50" s="206"/>
      <c r="H50" s="202">
        <f t="shared" si="7"/>
        <v>0</v>
      </c>
      <c r="I50" s="209">
        <f t="shared" si="12"/>
        <v>0</v>
      </c>
      <c r="J50" s="209"/>
      <c r="K50" s="209">
        <f t="shared" si="8"/>
        <v>0</v>
      </c>
      <c r="L50" s="185"/>
      <c r="M50" s="186"/>
    </row>
    <row r="51" spans="1:13" ht="15.75">
      <c r="A51" s="206"/>
      <c r="B51" s="191"/>
      <c r="C51" s="206"/>
      <c r="D51" s="192"/>
      <c r="E51" s="192"/>
      <c r="F51" s="210"/>
      <c r="G51" s="206"/>
      <c r="H51" s="209">
        <f>SUM(H39:H50)</f>
        <v>0</v>
      </c>
      <c r="I51" s="209"/>
      <c r="J51" s="209"/>
      <c r="K51" s="209"/>
      <c r="L51" s="185"/>
      <c r="M51" s="186"/>
    </row>
    <row r="52" spans="1:13">
      <c r="A52" s="184"/>
      <c r="B52" s="184"/>
      <c r="C52" s="184"/>
      <c r="D52" s="184"/>
      <c r="E52" s="184"/>
      <c r="F52" s="184"/>
      <c r="G52" s="184"/>
      <c r="H52" s="184"/>
      <c r="I52" s="184"/>
      <c r="J52" s="184"/>
      <c r="K52" s="184"/>
      <c r="L52" s="184"/>
    </row>
    <row r="53" spans="1:13" ht="15.75">
      <c r="A53" s="206" t="s">
        <v>202</v>
      </c>
      <c r="B53" s="184"/>
      <c r="C53" s="184"/>
      <c r="D53" s="184"/>
      <c r="E53" s="184"/>
      <c r="F53" s="184"/>
      <c r="G53" s="184"/>
      <c r="H53" s="184"/>
      <c r="I53" s="215">
        <f>SUM(I39:I50)*-1</f>
        <v>0</v>
      </c>
      <c r="J53" s="184"/>
      <c r="K53" s="184"/>
      <c r="L53" s="184"/>
    </row>
    <row r="54" spans="1:13" ht="15.75">
      <c r="A54" s="206" t="s">
        <v>203</v>
      </c>
      <c r="B54" s="184"/>
      <c r="C54" s="184"/>
      <c r="D54" s="184"/>
      <c r="E54" s="184"/>
      <c r="F54" s="184"/>
      <c r="G54" s="184"/>
      <c r="H54" s="184"/>
      <c r="I54" s="215">
        <f>+G9</f>
        <v>0</v>
      </c>
      <c r="J54" s="184"/>
      <c r="K54" s="184"/>
      <c r="L54" s="184"/>
    </row>
    <row r="55" spans="1:13" ht="15.75">
      <c r="A55" s="206" t="s">
        <v>204</v>
      </c>
      <c r="B55" s="184"/>
      <c r="C55" s="184"/>
      <c r="D55" s="184"/>
      <c r="E55" s="184"/>
      <c r="F55" s="184"/>
      <c r="G55" s="184"/>
      <c r="H55" s="184"/>
      <c r="I55" s="215">
        <f>(I53+I54)</f>
        <v>0</v>
      </c>
      <c r="J55" s="184"/>
      <c r="K55" s="184"/>
      <c r="L55" s="184"/>
    </row>
    <row r="57" spans="1:13" ht="15.75">
      <c r="A57" s="206" t="s">
        <v>412</v>
      </c>
      <c r="F57" s="187"/>
      <c r="I57" s="352"/>
    </row>
    <row r="58" spans="1:13" ht="15.75">
      <c r="A58" s="1014" t="s">
        <v>601</v>
      </c>
      <c r="B58" s="1014"/>
      <c r="C58" s="1014"/>
      <c r="D58" s="1014"/>
      <c r="E58" s="1014"/>
      <c r="F58" s="1014"/>
      <c r="G58" s="1014"/>
      <c r="H58" s="719"/>
      <c r="I58" s="719"/>
      <c r="J58" s="719"/>
    </row>
    <row r="59" spans="1:13">
      <c r="D59" s="189"/>
      <c r="F59" s="187"/>
      <c r="I59" s="188"/>
    </row>
    <row r="60" spans="1:13">
      <c r="I60" s="189"/>
    </row>
  </sheetData>
  <mergeCells count="4">
    <mergeCell ref="A1:K1"/>
    <mergeCell ref="A2:K2"/>
    <mergeCell ref="A3:K3"/>
    <mergeCell ref="A58:G58"/>
  </mergeCells>
  <phoneticPr fontId="57" type="noConversion"/>
  <pageMargins left="0.75" right="0.75" top="1" bottom="1" header="0.5" footer="0.5"/>
  <pageSetup scale="50" orientation="portrait" r:id="rId1"/>
  <headerFooter alignWithMargins="0">
    <oddHeader>&amp;RCompliance Filing Attachment 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9BA44-158A-4B02-BFEA-784048BA573D}">
  <sheetPr>
    <tabColor rgb="FF92D050"/>
    <pageSetUpPr fitToPage="1"/>
  </sheetPr>
  <dimension ref="A1:K23"/>
  <sheetViews>
    <sheetView zoomScaleNormal="100" zoomScaleSheetLayoutView="80" workbookViewId="0">
      <selection sqref="A1:K1"/>
    </sheetView>
  </sheetViews>
  <sheetFormatPr defaultRowHeight="15"/>
  <cols>
    <col min="6" max="6" width="13.88671875" customWidth="1"/>
    <col min="8" max="8" width="2.5546875" customWidth="1"/>
  </cols>
  <sheetData>
    <row r="1" spans="1:11" ht="15.75">
      <c r="A1" s="1015" t="s">
        <v>604</v>
      </c>
      <c r="B1" s="1015"/>
      <c r="C1" s="1015"/>
      <c r="D1" s="1015"/>
      <c r="E1" s="1015"/>
      <c r="F1" s="1015"/>
      <c r="G1" s="1015"/>
      <c r="H1" s="1015"/>
      <c r="I1" s="1015"/>
      <c r="J1" s="1015"/>
      <c r="K1" s="1015"/>
    </row>
    <row r="2" spans="1:11" ht="15.75">
      <c r="A2" s="1013" t="s">
        <v>560</v>
      </c>
      <c r="B2" s="1013"/>
      <c r="C2" s="1013"/>
      <c r="D2" s="1013"/>
      <c r="E2" s="1013"/>
      <c r="F2" s="1013"/>
      <c r="G2" s="1013"/>
      <c r="H2" s="1013"/>
      <c r="I2" s="1013"/>
      <c r="J2" s="1013"/>
      <c r="K2" s="1013"/>
    </row>
    <row r="3" spans="1:11" ht="15.75">
      <c r="A3" s="1013" t="str">
        <f>'Appendix A'!$D$9</f>
        <v>HURLEY AVENUE PROJECT - SYSTEM DELIVERABILITY UPGRADE</v>
      </c>
      <c r="B3" s="1013"/>
      <c r="C3" s="1013"/>
      <c r="D3" s="1013"/>
      <c r="E3" s="1013"/>
      <c r="F3" s="1013"/>
      <c r="G3" s="1013"/>
      <c r="H3" s="1013"/>
      <c r="I3" s="1013"/>
      <c r="J3" s="1013"/>
      <c r="K3" s="1013"/>
    </row>
    <row r="4" spans="1:11">
      <c r="A4" s="396"/>
      <c r="B4" s="396"/>
      <c r="C4" s="396"/>
      <c r="D4" s="397"/>
      <c r="E4" s="399"/>
      <c r="F4" s="574"/>
      <c r="G4" s="398"/>
      <c r="H4" s="398"/>
      <c r="I4" s="398"/>
      <c r="J4" s="398"/>
    </row>
    <row r="5" spans="1:11">
      <c r="A5" s="396"/>
      <c r="B5" s="396"/>
      <c r="C5" s="396"/>
      <c r="D5" s="398"/>
      <c r="E5" s="399"/>
      <c r="F5" s="574"/>
      <c r="G5" s="398"/>
      <c r="H5" s="398"/>
      <c r="I5" s="398"/>
      <c r="J5" s="398"/>
    </row>
    <row r="6" spans="1:11" ht="38.25">
      <c r="A6" s="396"/>
      <c r="B6" s="396"/>
      <c r="C6" s="396"/>
      <c r="D6" s="722" t="s">
        <v>546</v>
      </c>
      <c r="E6" s="399"/>
      <c r="F6" s="720" t="s">
        <v>559</v>
      </c>
      <c r="G6" s="399"/>
      <c r="H6" s="400"/>
      <c r="I6" s="400"/>
      <c r="J6" s="400"/>
    </row>
    <row r="7" spans="1:11" ht="15.75">
      <c r="A7" s="396">
        <v>1</v>
      </c>
      <c r="B7" s="396"/>
      <c r="C7" s="396"/>
      <c r="D7" s="716" t="s">
        <v>547</v>
      </c>
      <c r="E7" s="399"/>
      <c r="F7" s="723">
        <v>0</v>
      </c>
      <c r="G7" s="399"/>
      <c r="H7" s="400"/>
      <c r="I7" s="400"/>
      <c r="J7" s="400"/>
    </row>
    <row r="8" spans="1:11" ht="15.75">
      <c r="A8" s="396">
        <f>A7+1</f>
        <v>2</v>
      </c>
      <c r="B8" s="396"/>
      <c r="C8" s="396"/>
      <c r="D8" s="716" t="s">
        <v>548</v>
      </c>
      <c r="E8" s="399"/>
      <c r="F8" s="723">
        <v>0</v>
      </c>
      <c r="G8" s="399"/>
      <c r="H8" s="401"/>
      <c r="I8" s="401"/>
      <c r="J8" s="401"/>
    </row>
    <row r="9" spans="1:11" ht="15.75">
      <c r="A9" s="396">
        <f t="shared" ref="A9:A18" si="0">A8+1</f>
        <v>3</v>
      </c>
      <c r="B9" s="396"/>
      <c r="C9" s="396"/>
      <c r="D9" s="716" t="s">
        <v>551</v>
      </c>
      <c r="E9" s="399"/>
      <c r="F9" s="723">
        <v>0</v>
      </c>
      <c r="G9" s="399"/>
      <c r="H9" s="401"/>
      <c r="I9" s="401"/>
      <c r="J9" s="401"/>
    </row>
    <row r="10" spans="1:11" ht="15.75">
      <c r="A10" s="396">
        <f t="shared" si="0"/>
        <v>4</v>
      </c>
      <c r="B10" s="396"/>
      <c r="C10" s="396"/>
      <c r="D10" s="716" t="s">
        <v>552</v>
      </c>
      <c r="E10" s="399"/>
      <c r="F10" s="723">
        <v>0</v>
      </c>
      <c r="G10" s="399"/>
      <c r="H10" s="401"/>
      <c r="I10" s="401"/>
      <c r="J10" s="401"/>
    </row>
    <row r="11" spans="1:11" ht="15.75">
      <c r="A11" s="396">
        <f t="shared" si="0"/>
        <v>5</v>
      </c>
      <c r="B11" s="396"/>
      <c r="C11" s="396"/>
      <c r="D11" s="716" t="s">
        <v>553</v>
      </c>
      <c r="E11" s="399"/>
      <c r="F11" s="723">
        <v>0</v>
      </c>
      <c r="G11" s="399"/>
      <c r="H11" s="402"/>
      <c r="I11" s="402"/>
      <c r="J11" s="402"/>
    </row>
    <row r="12" spans="1:11" ht="15.75">
      <c r="A12" s="396">
        <f t="shared" si="0"/>
        <v>6</v>
      </c>
      <c r="B12" s="396"/>
      <c r="C12" s="396"/>
      <c r="D12" s="716" t="s">
        <v>549</v>
      </c>
      <c r="E12" s="399"/>
      <c r="F12" s="723">
        <v>0</v>
      </c>
      <c r="G12" s="399"/>
      <c r="H12" s="402"/>
      <c r="I12" s="402"/>
      <c r="J12" s="402"/>
    </row>
    <row r="13" spans="1:11" ht="15.75">
      <c r="A13" s="396">
        <f t="shared" si="0"/>
        <v>7</v>
      </c>
      <c r="B13" s="396"/>
      <c r="C13" s="396"/>
      <c r="D13" s="716" t="s">
        <v>554</v>
      </c>
      <c r="F13" s="723">
        <v>0</v>
      </c>
      <c r="G13" s="405"/>
      <c r="H13" s="405"/>
      <c r="I13" s="405"/>
      <c r="J13" s="403"/>
    </row>
    <row r="14" spans="1:11" ht="15.75">
      <c r="A14" s="396">
        <f t="shared" si="0"/>
        <v>8</v>
      </c>
      <c r="B14" s="396"/>
      <c r="C14" s="396"/>
      <c r="D14" s="716" t="s">
        <v>556</v>
      </c>
      <c r="E14" s="399"/>
      <c r="F14" s="723">
        <v>0</v>
      </c>
      <c r="G14" s="398"/>
      <c r="H14" s="398"/>
      <c r="I14" s="398"/>
      <c r="J14" s="398"/>
    </row>
    <row r="15" spans="1:11" ht="15.75">
      <c r="A15" s="396">
        <f t="shared" si="0"/>
        <v>9</v>
      </c>
      <c r="B15" s="396"/>
      <c r="C15" s="399"/>
      <c r="D15" s="716" t="s">
        <v>557</v>
      </c>
      <c r="E15" s="399"/>
      <c r="F15" s="723">
        <v>0</v>
      </c>
      <c r="G15" s="399"/>
      <c r="H15" s="399"/>
      <c r="I15" s="399"/>
      <c r="J15" s="399"/>
    </row>
    <row r="16" spans="1:11" ht="15.75">
      <c r="A16" s="396">
        <f t="shared" si="0"/>
        <v>10</v>
      </c>
      <c r="B16" s="396"/>
      <c r="C16" s="404"/>
      <c r="D16" s="716" t="s">
        <v>550</v>
      </c>
      <c r="E16" s="399"/>
      <c r="F16" s="723">
        <v>0</v>
      </c>
      <c r="G16" s="399"/>
      <c r="H16" s="399"/>
      <c r="I16" s="399"/>
      <c r="J16" s="399"/>
    </row>
    <row r="17" spans="1:10" ht="18.75" customHeight="1">
      <c r="A17" s="396">
        <f t="shared" si="0"/>
        <v>11</v>
      </c>
      <c r="B17" s="396"/>
      <c r="C17" s="406"/>
      <c r="D17" s="716" t="s">
        <v>555</v>
      </c>
      <c r="F17" s="723">
        <v>0</v>
      </c>
    </row>
    <row r="18" spans="1:10" ht="15.75" customHeight="1">
      <c r="A18" s="396">
        <f t="shared" si="0"/>
        <v>12</v>
      </c>
      <c r="B18" s="396"/>
      <c r="C18" s="406"/>
      <c r="D18" s="716" t="s">
        <v>558</v>
      </c>
      <c r="E18" s="721"/>
      <c r="F18" s="723">
        <v>0</v>
      </c>
      <c r="G18" s="721"/>
      <c r="H18" s="721"/>
      <c r="I18" s="721"/>
      <c r="J18" s="721"/>
    </row>
    <row r="19" spans="1:10">
      <c r="A19" s="396"/>
      <c r="B19" s="396"/>
      <c r="C19" s="396"/>
      <c r="D19" s="399"/>
      <c r="E19" s="399"/>
      <c r="F19" s="724"/>
      <c r="G19" s="399"/>
      <c r="H19" s="399"/>
      <c r="I19" s="399"/>
      <c r="J19" s="399"/>
    </row>
    <row r="20" spans="1:10" ht="15.75">
      <c r="A20" s="396">
        <f>+A18+1</f>
        <v>13</v>
      </c>
      <c r="B20" s="396"/>
      <c r="C20" s="396"/>
      <c r="D20" s="726" t="s">
        <v>172</v>
      </c>
      <c r="E20" s="399"/>
      <c r="F20" s="725">
        <f>+AVERAGE(F7:F18)</f>
        <v>0</v>
      </c>
      <c r="G20" s="399"/>
      <c r="H20" s="399"/>
      <c r="I20" s="399"/>
      <c r="J20" s="399"/>
    </row>
    <row r="21" spans="1:10">
      <c r="A21" s="396"/>
      <c r="B21" s="396"/>
      <c r="C21" s="396"/>
      <c r="D21" s="399"/>
      <c r="E21" s="399"/>
      <c r="F21" s="399"/>
      <c r="G21" s="399"/>
      <c r="H21" s="399"/>
      <c r="I21" s="399"/>
      <c r="J21" s="399"/>
    </row>
    <row r="22" spans="1:10">
      <c r="A22" s="396"/>
      <c r="B22" s="396"/>
      <c r="C22" s="396"/>
      <c r="E22" s="399"/>
      <c r="F22" s="399"/>
      <c r="G22" s="399"/>
      <c r="H22" s="399"/>
      <c r="I22" s="399"/>
      <c r="J22" s="399"/>
    </row>
    <row r="23" spans="1:10">
      <c r="A23" s="396"/>
      <c r="B23" s="396"/>
      <c r="C23" s="396"/>
      <c r="D23" s="399"/>
      <c r="E23" s="399"/>
      <c r="F23" s="399"/>
      <c r="G23" s="399"/>
      <c r="H23" s="399"/>
      <c r="I23" s="399"/>
      <c r="J23" s="399"/>
    </row>
  </sheetData>
  <mergeCells count="3">
    <mergeCell ref="A2:K2"/>
    <mergeCell ref="A3:K3"/>
    <mergeCell ref="A1:K1"/>
  </mergeCells>
  <phoneticPr fontId="57" type="noConversion"/>
  <pageMargins left="0.7" right="0.7" top="0.75" bottom="0.75" header="0.3" footer="0.3"/>
  <pageSetup scale="57" orientation="portrait" r:id="rId1"/>
  <headerFooter>
    <oddHeader>&amp;RCompliance Filing Attachment 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A9B1F-A221-4BCD-9A91-4B8933B60066}">
  <sheetPr>
    <tabColor rgb="FF92D050"/>
    <pageSetUpPr fitToPage="1"/>
  </sheetPr>
  <dimension ref="A1:M125"/>
  <sheetViews>
    <sheetView zoomScaleNormal="100" workbookViewId="0"/>
  </sheetViews>
  <sheetFormatPr defaultRowHeight="15"/>
  <cols>
    <col min="1" max="1" width="7.5546875" style="468" customWidth="1"/>
    <col min="2" max="2" width="23.21875" customWidth="1"/>
    <col min="3" max="3" width="50.88671875" customWidth="1"/>
    <col min="4" max="4" width="14.88671875" style="468" customWidth="1"/>
    <col min="8" max="8" width="23" style="84" customWidth="1"/>
    <col min="9" max="9" width="25.6640625" style="84" customWidth="1"/>
    <col min="10" max="10" width="13.6640625" style="84" customWidth="1"/>
  </cols>
  <sheetData>
    <row r="1" spans="1:13" ht="15.75">
      <c r="H1" s="343"/>
      <c r="I1" s="8"/>
      <c r="J1" s="344"/>
    </row>
    <row r="2" spans="1:13" ht="15.75">
      <c r="H2" s="343"/>
      <c r="I2" s="347"/>
      <c r="J2" s="345"/>
    </row>
    <row r="3" spans="1:13">
      <c r="H3" s="346"/>
      <c r="I3" s="347"/>
      <c r="J3" s="345"/>
    </row>
    <row r="4" spans="1:13" ht="15.75">
      <c r="A4" s="1001" t="s">
        <v>604</v>
      </c>
      <c r="B4" s="1001"/>
      <c r="C4" s="1001"/>
      <c r="D4" s="1001"/>
      <c r="H4" s="346"/>
      <c r="I4" s="347"/>
      <c r="J4" s="345"/>
    </row>
    <row r="5" spans="1:13" ht="18">
      <c r="A5" s="1017" t="s">
        <v>453</v>
      </c>
      <c r="B5" s="1017"/>
      <c r="C5" s="1017"/>
      <c r="D5" s="1017"/>
      <c r="E5" s="799"/>
      <c r="H5" s="346"/>
      <c r="I5" s="347"/>
      <c r="J5" s="345"/>
    </row>
    <row r="6" spans="1:13" ht="15.75">
      <c r="A6" s="1013" t="str">
        <f>'Appendix A'!$D$9</f>
        <v>HURLEY AVENUE PROJECT - SYSTEM DELIVERABILITY UPGRADE</v>
      </c>
      <c r="B6" s="1013"/>
      <c r="C6" s="1013"/>
      <c r="D6" s="1013"/>
      <c r="E6" s="250"/>
      <c r="F6" s="250"/>
      <c r="G6" s="250"/>
      <c r="H6" s="346"/>
      <c r="I6" s="347"/>
      <c r="J6" s="345"/>
      <c r="K6" s="250"/>
      <c r="L6" s="250"/>
    </row>
    <row r="7" spans="1:13" ht="15.75">
      <c r="A7" s="1016" t="s">
        <v>678</v>
      </c>
      <c r="B7" s="1016"/>
      <c r="C7" s="1016"/>
      <c r="D7" s="1016"/>
      <c r="E7" s="127"/>
      <c r="H7" s="346"/>
      <c r="I7" s="347"/>
      <c r="J7" s="345"/>
    </row>
    <row r="8" spans="1:13">
      <c r="A8" s="249"/>
      <c r="B8" s="127"/>
      <c r="C8" s="249"/>
      <c r="D8" s="249"/>
      <c r="E8" s="127"/>
      <c r="H8" s="346"/>
      <c r="I8" s="347"/>
      <c r="J8" s="345"/>
    </row>
    <row r="9" spans="1:13" ht="30">
      <c r="A9" s="355"/>
      <c r="B9" s="727" t="s">
        <v>16</v>
      </c>
      <c r="C9" s="728" t="s">
        <v>219</v>
      </c>
      <c r="D9" s="729" t="s">
        <v>18</v>
      </c>
      <c r="E9" s="127"/>
      <c r="H9" s="346"/>
      <c r="I9" s="347"/>
      <c r="J9" s="345"/>
    </row>
    <row r="10" spans="1:13">
      <c r="A10" s="249"/>
      <c r="E10" s="127"/>
      <c r="H10" s="346"/>
      <c r="I10" s="347"/>
      <c r="J10" s="345"/>
    </row>
    <row r="11" spans="1:13" ht="15.75">
      <c r="A11" s="247"/>
      <c r="B11" s="343" t="s">
        <v>17</v>
      </c>
      <c r="E11" s="127"/>
      <c r="H11" s="758"/>
      <c r="I11"/>
      <c r="J11"/>
      <c r="K11" s="419"/>
      <c r="L11" s="419"/>
    </row>
    <row r="12" spans="1:13">
      <c r="A12" s="247"/>
      <c r="B12" s="247"/>
      <c r="C12" s="247"/>
      <c r="D12" s="247"/>
      <c r="E12" s="127"/>
      <c r="H12" s="423"/>
      <c r="M12" s="419"/>
    </row>
    <row r="13" spans="1:13">
      <c r="A13" s="247">
        <v>1</v>
      </c>
      <c r="B13" s="356">
        <v>350.1</v>
      </c>
      <c r="C13" s="356" t="s">
        <v>562</v>
      </c>
      <c r="D13" s="730">
        <v>1.18E-2</v>
      </c>
      <c r="E13" s="127"/>
      <c r="H13" s="423"/>
      <c r="M13" s="419"/>
    </row>
    <row r="14" spans="1:13">
      <c r="A14" s="247"/>
      <c r="B14" s="247"/>
      <c r="C14" s="247"/>
      <c r="D14" s="730"/>
      <c r="E14" s="127"/>
      <c r="H14" s="423"/>
      <c r="M14" s="419"/>
    </row>
    <row r="15" spans="1:13">
      <c r="A15" s="247">
        <f>+A13+1</f>
        <v>2</v>
      </c>
      <c r="B15" s="356">
        <v>352</v>
      </c>
      <c r="C15" t="s">
        <v>10</v>
      </c>
      <c r="D15" s="730">
        <v>1.6299999999999999E-2</v>
      </c>
      <c r="E15" s="127"/>
      <c r="H15" s="423"/>
      <c r="M15" s="419"/>
    </row>
    <row r="16" spans="1:13">
      <c r="D16" s="731"/>
      <c r="E16" s="127"/>
      <c r="H16" s="423"/>
      <c r="I16"/>
      <c r="J16"/>
      <c r="M16" s="419"/>
    </row>
    <row r="17" spans="1:13">
      <c r="A17" s="247">
        <f>+A15+1</f>
        <v>3</v>
      </c>
      <c r="B17" s="356">
        <v>353</v>
      </c>
      <c r="C17" t="s">
        <v>11</v>
      </c>
      <c r="D17" s="730">
        <v>2.2599999999999999E-2</v>
      </c>
      <c r="E17" s="127"/>
      <c r="H17" s="423"/>
      <c r="I17"/>
      <c r="J17"/>
      <c r="M17" s="419"/>
    </row>
    <row r="18" spans="1:13">
      <c r="D18" s="731"/>
      <c r="E18" s="127"/>
      <c r="H18" s="423"/>
      <c r="I18"/>
      <c r="J18"/>
      <c r="M18" s="419"/>
    </row>
    <row r="19" spans="1:13">
      <c r="A19" s="247">
        <f>+A17+1</f>
        <v>4</v>
      </c>
      <c r="B19" s="356">
        <v>353</v>
      </c>
      <c r="C19" t="s">
        <v>563</v>
      </c>
      <c r="D19" s="731">
        <v>3.6400000000000002E-2</v>
      </c>
      <c r="E19" s="127"/>
      <c r="H19" s="423"/>
      <c r="I19"/>
      <c r="J19"/>
      <c r="M19" s="419"/>
    </row>
    <row r="20" spans="1:13">
      <c r="B20" s="356"/>
      <c r="D20" s="731"/>
      <c r="E20" s="127"/>
      <c r="H20" s="423"/>
      <c r="I20"/>
      <c r="J20"/>
      <c r="M20" s="419"/>
    </row>
    <row r="21" spans="1:13">
      <c r="A21" s="247">
        <f>+A19+1</f>
        <v>5</v>
      </c>
      <c r="B21" s="356">
        <v>353</v>
      </c>
      <c r="C21" t="s">
        <v>564</v>
      </c>
      <c r="D21" s="731">
        <v>2.6700000000000002E-2</v>
      </c>
      <c r="E21" s="127"/>
      <c r="H21" s="423"/>
      <c r="I21"/>
      <c r="J21"/>
      <c r="M21" s="419"/>
    </row>
    <row r="22" spans="1:13">
      <c r="A22" s="247"/>
      <c r="B22" s="356"/>
      <c r="D22" s="731"/>
      <c r="E22" s="127"/>
      <c r="H22" s="423"/>
      <c r="I22"/>
      <c r="J22"/>
      <c r="M22" s="419"/>
    </row>
    <row r="23" spans="1:13">
      <c r="A23" s="247">
        <f>+A21+1</f>
        <v>6</v>
      </c>
      <c r="B23" s="356">
        <v>353</v>
      </c>
      <c r="C23" t="s">
        <v>565</v>
      </c>
      <c r="D23" s="731">
        <v>0.04</v>
      </c>
      <c r="E23" s="127"/>
      <c r="H23" s="423"/>
      <c r="I23"/>
      <c r="J23"/>
      <c r="M23" s="419"/>
    </row>
    <row r="24" spans="1:13">
      <c r="D24" s="731"/>
      <c r="E24" s="127"/>
      <c r="H24" s="423"/>
      <c r="I24"/>
      <c r="J24"/>
      <c r="M24" s="419"/>
    </row>
    <row r="25" spans="1:13">
      <c r="A25" s="247">
        <f>+A23+1</f>
        <v>7</v>
      </c>
      <c r="B25" s="356">
        <v>354</v>
      </c>
      <c r="C25" t="s">
        <v>12</v>
      </c>
      <c r="D25" s="730">
        <v>1.6299999999999999E-2</v>
      </c>
      <c r="E25" s="127"/>
      <c r="H25" s="423"/>
      <c r="I25"/>
      <c r="J25"/>
    </row>
    <row r="26" spans="1:13">
      <c r="D26" s="731"/>
      <c r="E26" s="127"/>
      <c r="H26" s="423"/>
      <c r="I26"/>
      <c r="J26"/>
    </row>
    <row r="27" spans="1:13">
      <c r="A27" s="247">
        <f>+A25+1</f>
        <v>8</v>
      </c>
      <c r="B27" s="356">
        <v>355</v>
      </c>
      <c r="C27" t="s">
        <v>13</v>
      </c>
      <c r="D27" s="730">
        <v>3.09E-2</v>
      </c>
      <c r="E27" s="127"/>
      <c r="H27" s="423"/>
      <c r="I27"/>
      <c r="J27"/>
    </row>
    <row r="28" spans="1:13" ht="15.75">
      <c r="D28" s="731"/>
      <c r="E28" s="127"/>
      <c r="H28" s="423"/>
      <c r="I28" s="422"/>
      <c r="J28"/>
    </row>
    <row r="29" spans="1:13">
      <c r="A29" s="247">
        <f>+A27+1</f>
        <v>9</v>
      </c>
      <c r="B29" s="356">
        <v>356</v>
      </c>
      <c r="C29" t="s">
        <v>14</v>
      </c>
      <c r="D29" s="730">
        <v>2.29E-2</v>
      </c>
      <c r="E29" s="127"/>
      <c r="H29" s="423"/>
      <c r="I29"/>
      <c r="J29"/>
    </row>
    <row r="30" spans="1:13">
      <c r="D30" s="731"/>
      <c r="E30" s="127"/>
      <c r="H30" s="423"/>
      <c r="J30"/>
    </row>
    <row r="31" spans="1:13">
      <c r="A31" s="247">
        <f>+A29+1</f>
        <v>10</v>
      </c>
      <c r="B31" s="356">
        <v>356</v>
      </c>
      <c r="C31" t="s">
        <v>566</v>
      </c>
      <c r="D31" s="731">
        <v>2.1299999999999999E-2</v>
      </c>
      <c r="E31" s="127"/>
      <c r="H31" s="423"/>
      <c r="J31"/>
    </row>
    <row r="32" spans="1:13">
      <c r="D32" s="731"/>
      <c r="E32" s="127"/>
      <c r="H32" s="423"/>
      <c r="J32"/>
    </row>
    <row r="33" spans="1:11">
      <c r="A33" s="247">
        <f>+A31+1</f>
        <v>11</v>
      </c>
      <c r="B33" s="356">
        <v>356.3</v>
      </c>
      <c r="C33" t="s">
        <v>567</v>
      </c>
      <c r="D33" s="731">
        <v>2.75E-2</v>
      </c>
      <c r="E33" s="127"/>
      <c r="H33" s="423"/>
      <c r="J33"/>
    </row>
    <row r="34" spans="1:11">
      <c r="D34" s="731"/>
      <c r="E34" s="127"/>
      <c r="H34" s="423"/>
      <c r="J34"/>
    </row>
    <row r="35" spans="1:11">
      <c r="A35" s="247">
        <f>+A31+1</f>
        <v>11</v>
      </c>
      <c r="B35" s="356">
        <v>357</v>
      </c>
      <c r="C35" t="s">
        <v>303</v>
      </c>
      <c r="D35" s="730">
        <v>2.4400000000000002E-2</v>
      </c>
      <c r="E35" s="127"/>
      <c r="H35" s="423"/>
      <c r="I35"/>
      <c r="J35"/>
      <c r="K35" s="420"/>
    </row>
    <row r="36" spans="1:11">
      <c r="D36" s="731"/>
      <c r="E36" s="127"/>
      <c r="H36" s="423"/>
      <c r="I36"/>
      <c r="J36"/>
      <c r="K36" s="420"/>
    </row>
    <row r="37" spans="1:11">
      <c r="A37" s="247">
        <f>+A35+1</f>
        <v>12</v>
      </c>
      <c r="B37" s="356">
        <v>358</v>
      </c>
      <c r="C37" t="s">
        <v>15</v>
      </c>
      <c r="D37" s="730">
        <v>1.9199999999999998E-2</v>
      </c>
      <c r="E37" s="127"/>
      <c r="H37" s="423"/>
      <c r="I37"/>
      <c r="J37"/>
    </row>
    <row r="38" spans="1:11">
      <c r="A38" s="247"/>
      <c r="B38" s="84"/>
      <c r="C38" s="357"/>
      <c r="D38" s="731"/>
      <c r="E38" s="127"/>
      <c r="H38" s="423"/>
      <c r="I38"/>
      <c r="J38"/>
    </row>
    <row r="39" spans="1:11">
      <c r="A39" s="247"/>
      <c r="B39" s="84"/>
      <c r="C39" s="357"/>
      <c r="D39" s="731"/>
      <c r="E39" s="127"/>
      <c r="H39" s="423"/>
      <c r="I39"/>
      <c r="J39"/>
      <c r="K39" s="420"/>
    </row>
    <row r="40" spans="1:11">
      <c r="A40" s="247"/>
      <c r="B40" s="84"/>
      <c r="C40" s="357"/>
      <c r="D40" s="731"/>
      <c r="E40" s="127"/>
      <c r="H40" s="423"/>
      <c r="I40"/>
      <c r="J40"/>
      <c r="K40" s="420"/>
    </row>
    <row r="41" spans="1:11" ht="15.75">
      <c r="A41" s="247"/>
      <c r="B41" s="343" t="s">
        <v>1</v>
      </c>
      <c r="D41" s="732"/>
      <c r="E41" s="127"/>
    </row>
    <row r="42" spans="1:11" ht="15.75">
      <c r="A42" s="247"/>
      <c r="B42" s="343"/>
      <c r="C42" s="347"/>
      <c r="D42" s="730"/>
      <c r="E42" s="127"/>
    </row>
    <row r="43" spans="1:11">
      <c r="A43" s="247">
        <v>12</v>
      </c>
      <c r="B43" s="346">
        <v>390</v>
      </c>
      <c r="C43" s="347" t="s">
        <v>3</v>
      </c>
      <c r="D43" s="730">
        <v>2.8899999999999999E-2</v>
      </c>
      <c r="E43" s="127"/>
      <c r="H43" s="423"/>
      <c r="I43"/>
      <c r="J43"/>
    </row>
    <row r="44" spans="1:11">
      <c r="A44" s="247"/>
      <c r="B44" s="346"/>
      <c r="C44" s="347"/>
      <c r="D44" s="730"/>
      <c r="E44" s="127"/>
      <c r="H44" s="423"/>
      <c r="I44"/>
      <c r="J44"/>
    </row>
    <row r="45" spans="1:11">
      <c r="A45" s="247">
        <f>+A43+1</f>
        <v>13</v>
      </c>
      <c r="B45" s="346">
        <v>390</v>
      </c>
      <c r="C45" s="347" t="s">
        <v>582</v>
      </c>
      <c r="D45" s="730">
        <v>3.7499999999999999E-2</v>
      </c>
      <c r="E45" s="127"/>
      <c r="H45" s="423"/>
      <c r="I45"/>
      <c r="J45"/>
    </row>
    <row r="46" spans="1:11">
      <c r="A46" s="247"/>
      <c r="B46" s="346"/>
      <c r="C46" s="347"/>
      <c r="D46" s="730"/>
      <c r="E46" s="127"/>
      <c r="H46" s="423"/>
      <c r="I46"/>
      <c r="J46"/>
    </row>
    <row r="47" spans="1:11">
      <c r="A47" s="247">
        <f>+A45+1</f>
        <v>14</v>
      </c>
      <c r="B47" s="346">
        <v>391</v>
      </c>
      <c r="C47" s="347" t="s">
        <v>583</v>
      </c>
      <c r="D47" s="730">
        <v>0.125</v>
      </c>
      <c r="E47" s="127"/>
      <c r="H47" s="423"/>
      <c r="I47"/>
      <c r="J47"/>
    </row>
    <row r="48" spans="1:11">
      <c r="A48" s="247"/>
      <c r="B48" s="346"/>
      <c r="C48" s="347"/>
      <c r="D48" s="730"/>
      <c r="E48" s="127"/>
      <c r="H48" s="423"/>
      <c r="I48"/>
      <c r="J48"/>
    </row>
    <row r="49" spans="1:13">
      <c r="A49" s="247">
        <f>+A47+1</f>
        <v>15</v>
      </c>
      <c r="B49" s="346">
        <v>391</v>
      </c>
      <c r="C49" s="347" t="s">
        <v>584</v>
      </c>
      <c r="D49" s="730">
        <v>9.8900000000000002E-2</v>
      </c>
      <c r="E49" s="127"/>
      <c r="H49" s="423"/>
      <c r="I49"/>
      <c r="J49"/>
    </row>
    <row r="50" spans="1:13">
      <c r="A50" s="247"/>
      <c r="B50" s="346"/>
      <c r="C50" s="347"/>
      <c r="D50" s="730"/>
      <c r="E50" s="127"/>
      <c r="H50" s="423"/>
      <c r="I50"/>
      <c r="J50"/>
    </row>
    <row r="51" spans="1:13">
      <c r="A51" s="247">
        <f>+A49+1</f>
        <v>16</v>
      </c>
      <c r="B51" s="346">
        <v>391</v>
      </c>
      <c r="C51" s="347" t="s">
        <v>585</v>
      </c>
      <c r="D51" s="730">
        <v>0.1</v>
      </c>
      <c r="E51" s="127"/>
      <c r="H51" s="423"/>
      <c r="I51"/>
      <c r="J51"/>
    </row>
    <row r="52" spans="1:13">
      <c r="A52" s="247"/>
      <c r="B52" s="346"/>
      <c r="C52" s="347"/>
      <c r="D52" s="730"/>
      <c r="E52" s="127"/>
      <c r="H52" s="423"/>
      <c r="I52"/>
      <c r="J52"/>
    </row>
    <row r="53" spans="1:13">
      <c r="A53" s="247">
        <f>+A51+1</f>
        <v>17</v>
      </c>
      <c r="B53" s="346">
        <v>392</v>
      </c>
      <c r="C53" s="347" t="s">
        <v>4</v>
      </c>
      <c r="D53" s="730">
        <v>7.4999999999999997E-2</v>
      </c>
      <c r="E53" s="127"/>
    </row>
    <row r="54" spans="1:13">
      <c r="A54" s="247"/>
      <c r="B54" s="346"/>
      <c r="C54" s="347"/>
      <c r="D54" s="730"/>
      <c r="E54" s="127"/>
      <c r="H54" s="423"/>
      <c r="I54"/>
      <c r="J54"/>
    </row>
    <row r="55" spans="1:13">
      <c r="A55" s="247">
        <f>+A53+1</f>
        <v>18</v>
      </c>
      <c r="B55" s="346">
        <v>393</v>
      </c>
      <c r="C55" s="347" t="s">
        <v>5</v>
      </c>
      <c r="D55" s="730">
        <v>0.04</v>
      </c>
      <c r="H55" s="423"/>
      <c r="I55"/>
      <c r="J55"/>
    </row>
    <row r="56" spans="1:13">
      <c r="A56" s="247"/>
      <c r="B56" s="346"/>
      <c r="C56" s="84"/>
      <c r="D56" s="730"/>
      <c r="E56" s="127"/>
      <c r="H56" s="423"/>
      <c r="I56"/>
      <c r="J56"/>
      <c r="M56" s="419"/>
    </row>
    <row r="57" spans="1:13">
      <c r="A57" s="247">
        <f>+A55+1</f>
        <v>19</v>
      </c>
      <c r="B57" s="346">
        <v>394</v>
      </c>
      <c r="C57" s="347" t="s">
        <v>586</v>
      </c>
      <c r="D57" s="730">
        <v>3.5499999999999997E-2</v>
      </c>
      <c r="H57" s="423"/>
      <c r="I57"/>
      <c r="J57"/>
      <c r="K57" t="s">
        <v>22</v>
      </c>
      <c r="M57" s="419"/>
    </row>
    <row r="58" spans="1:13">
      <c r="A58" s="247"/>
      <c r="B58" s="346"/>
      <c r="C58" s="347"/>
      <c r="D58" s="730"/>
      <c r="H58" s="423"/>
      <c r="I58"/>
      <c r="J58"/>
      <c r="M58" s="419"/>
    </row>
    <row r="59" spans="1:13">
      <c r="A59" s="247">
        <f>+A57+1</f>
        <v>20</v>
      </c>
      <c r="B59" s="346">
        <v>394</v>
      </c>
      <c r="C59" s="347" t="s">
        <v>587</v>
      </c>
      <c r="D59" s="730">
        <v>1.7999999999999999E-2</v>
      </c>
      <c r="H59" s="423"/>
      <c r="I59"/>
      <c r="J59"/>
      <c r="M59" s="419"/>
    </row>
    <row r="60" spans="1:13">
      <c r="A60" s="247"/>
      <c r="B60" s="346"/>
      <c r="C60" s="347"/>
      <c r="D60" s="730"/>
      <c r="E60" s="127"/>
      <c r="H60" s="423"/>
      <c r="I60"/>
      <c r="J60"/>
      <c r="K60" s="420"/>
      <c r="M60" s="419"/>
    </row>
    <row r="61" spans="1:13">
      <c r="A61" s="247">
        <f>+A59+1</f>
        <v>21</v>
      </c>
      <c r="B61" s="346">
        <v>394</v>
      </c>
      <c r="C61" s="347" t="s">
        <v>588</v>
      </c>
      <c r="D61" s="730">
        <v>3.9199999999999999E-2</v>
      </c>
      <c r="E61" s="127"/>
      <c r="H61" s="423"/>
      <c r="I61"/>
      <c r="J61"/>
      <c r="K61" s="420"/>
      <c r="M61" s="419"/>
    </row>
    <row r="62" spans="1:13">
      <c r="A62" s="247"/>
      <c r="B62" s="346"/>
      <c r="C62" s="347"/>
      <c r="D62" s="730"/>
      <c r="E62" s="127"/>
      <c r="H62" s="423"/>
      <c r="I62"/>
      <c r="J62"/>
      <c r="K62" s="420"/>
      <c r="M62" s="419"/>
    </row>
    <row r="63" spans="1:13">
      <c r="A63" s="247">
        <f>+A61+1</f>
        <v>22</v>
      </c>
      <c r="B63" s="346">
        <v>395</v>
      </c>
      <c r="C63" s="347" t="s">
        <v>6</v>
      </c>
      <c r="D63" s="730">
        <v>0.04</v>
      </c>
      <c r="H63" s="423"/>
      <c r="I63"/>
      <c r="J63"/>
      <c r="K63" s="420"/>
      <c r="M63" s="419"/>
    </row>
    <row r="64" spans="1:13">
      <c r="A64" s="247"/>
      <c r="B64" s="346"/>
      <c r="C64" s="347"/>
      <c r="D64" s="730"/>
      <c r="E64" s="127"/>
      <c r="H64" s="423"/>
      <c r="I64"/>
      <c r="J64"/>
      <c r="K64" s="420"/>
      <c r="M64" s="419"/>
    </row>
    <row r="65" spans="1:13">
      <c r="A65" s="247">
        <f>+A63+1</f>
        <v>23</v>
      </c>
      <c r="B65" s="346">
        <v>396</v>
      </c>
      <c r="C65" s="347" t="s">
        <v>7</v>
      </c>
      <c r="D65" s="730">
        <v>6.9199999999999998E-2</v>
      </c>
      <c r="E65" s="127"/>
      <c r="H65" s="423"/>
      <c r="I65"/>
      <c r="J65"/>
      <c r="M65" s="419"/>
    </row>
    <row r="66" spans="1:13">
      <c r="A66" s="247"/>
      <c r="B66" s="346"/>
      <c r="C66" s="347"/>
      <c r="D66" s="730"/>
      <c r="E66" s="127"/>
      <c r="H66" s="423"/>
      <c r="I66"/>
      <c r="J66"/>
      <c r="M66" s="419"/>
    </row>
    <row r="67" spans="1:13">
      <c r="A67" s="247">
        <f>+A65+1</f>
        <v>24</v>
      </c>
      <c r="B67" s="346">
        <v>397</v>
      </c>
      <c r="C67" s="347" t="s">
        <v>8</v>
      </c>
      <c r="D67" s="730">
        <v>0.1</v>
      </c>
      <c r="E67" s="127"/>
      <c r="H67" s="423"/>
      <c r="I67"/>
      <c r="J67"/>
      <c r="M67" s="419"/>
    </row>
    <row r="68" spans="1:13">
      <c r="A68" s="247"/>
      <c r="B68" s="346"/>
      <c r="C68" s="347"/>
      <c r="D68" s="730"/>
      <c r="E68" s="127"/>
      <c r="H68" s="423"/>
      <c r="I68"/>
      <c r="J68"/>
      <c r="M68" s="419"/>
    </row>
    <row r="69" spans="1:13">
      <c r="A69" s="247">
        <f>+A67+1</f>
        <v>25</v>
      </c>
      <c r="B69" s="346">
        <v>398</v>
      </c>
      <c r="C69" s="347" t="s">
        <v>9</v>
      </c>
      <c r="D69" s="730">
        <v>0.05</v>
      </c>
      <c r="H69" s="423"/>
      <c r="I69"/>
      <c r="J69"/>
      <c r="M69" s="419"/>
    </row>
    <row r="70" spans="1:13" ht="15.75">
      <c r="A70" s="247"/>
      <c r="D70" s="730"/>
      <c r="H70" s="423"/>
      <c r="I70"/>
      <c r="J70"/>
      <c r="M70" s="421"/>
    </row>
    <row r="71" spans="1:13" ht="15.75">
      <c r="A71" s="247"/>
      <c r="B71" s="343" t="s">
        <v>2</v>
      </c>
      <c r="C71" s="347"/>
      <c r="D71" s="732"/>
      <c r="H71" s="423"/>
      <c r="I71"/>
      <c r="J71"/>
      <c r="M71" s="421"/>
    </row>
    <row r="72" spans="1:13" ht="15.75">
      <c r="A72" s="247"/>
      <c r="B72" s="346"/>
      <c r="C72" s="347"/>
      <c r="D72" s="730"/>
      <c r="H72" s="423"/>
      <c r="I72" s="422"/>
      <c r="J72"/>
      <c r="K72" s="422"/>
      <c r="M72" s="421"/>
    </row>
    <row r="73" spans="1:13" ht="15.75">
      <c r="A73" s="247">
        <f>+A69+1</f>
        <v>26</v>
      </c>
      <c r="B73" s="346">
        <v>303</v>
      </c>
      <c r="C73" s="347" t="s">
        <v>602</v>
      </c>
      <c r="D73" s="730">
        <v>0.33333333333333298</v>
      </c>
      <c r="H73" s="423"/>
      <c r="I73" s="422"/>
      <c r="J73"/>
      <c r="K73" s="422"/>
      <c r="M73" s="421"/>
    </row>
    <row r="74" spans="1:13" ht="15.75">
      <c r="A74" s="247">
        <f>+A73+1</f>
        <v>27</v>
      </c>
      <c r="B74" s="346"/>
      <c r="C74" t="s">
        <v>355</v>
      </c>
      <c r="D74" s="730">
        <v>0.2</v>
      </c>
      <c r="H74" s="423"/>
      <c r="I74" s="422"/>
      <c r="J74"/>
      <c r="K74" s="422"/>
      <c r="M74" s="421"/>
    </row>
    <row r="75" spans="1:13" ht="15.75">
      <c r="A75" s="247">
        <f t="shared" ref="A75:A76" si="0">+A74+1</f>
        <v>28</v>
      </c>
      <c r="C75" t="s">
        <v>356</v>
      </c>
      <c r="D75" s="730">
        <v>6.6666666666666693E-2</v>
      </c>
      <c r="F75" s="432"/>
      <c r="H75" s="423"/>
      <c r="I75" s="422"/>
      <c r="J75"/>
      <c r="K75" s="422"/>
      <c r="M75" s="421"/>
    </row>
    <row r="76" spans="1:13" ht="15.75">
      <c r="A76" s="247">
        <f t="shared" si="0"/>
        <v>29</v>
      </c>
      <c r="C76" t="s">
        <v>603</v>
      </c>
      <c r="D76" s="393" t="s">
        <v>168</v>
      </c>
      <c r="H76" s="423"/>
      <c r="I76" s="422"/>
      <c r="J76"/>
      <c r="K76" s="422"/>
      <c r="M76" s="421"/>
    </row>
    <row r="77" spans="1:13" ht="15.75">
      <c r="H77" s="423"/>
      <c r="I77" s="422"/>
      <c r="J77"/>
      <c r="K77" s="422"/>
      <c r="M77" s="421"/>
    </row>
    <row r="78" spans="1:13" ht="15.75">
      <c r="H78" s="423"/>
      <c r="I78" s="422"/>
      <c r="J78"/>
      <c r="K78" s="422"/>
      <c r="M78" s="421"/>
    </row>
    <row r="79" spans="1:13" ht="15.75">
      <c r="A79" s="356" t="s">
        <v>402</v>
      </c>
      <c r="H79" s="423"/>
      <c r="I79" s="422"/>
      <c r="J79"/>
      <c r="K79" s="422"/>
      <c r="M79" s="421"/>
    </row>
    <row r="80" spans="1:13" ht="15.75">
      <c r="H80" s="423"/>
      <c r="I80" s="422"/>
      <c r="J80"/>
      <c r="K80" s="422"/>
      <c r="M80" s="421"/>
    </row>
    <row r="81" spans="1:13" ht="15.75">
      <c r="A81" s="465" t="s">
        <v>568</v>
      </c>
      <c r="H81" s="423"/>
      <c r="I81"/>
      <c r="J81"/>
      <c r="M81" s="421"/>
    </row>
    <row r="82" spans="1:13" ht="15.75">
      <c r="A82" s="465" t="s">
        <v>569</v>
      </c>
      <c r="H82"/>
      <c r="I82"/>
      <c r="J82"/>
      <c r="M82" s="421"/>
    </row>
    <row r="83" spans="1:13">
      <c r="A83" s="465" t="s">
        <v>430</v>
      </c>
      <c r="H83"/>
      <c r="I83"/>
      <c r="J83"/>
    </row>
    <row r="84" spans="1:13">
      <c r="H84"/>
      <c r="I84"/>
      <c r="J84"/>
    </row>
    <row r="85" spans="1:13">
      <c r="H85"/>
      <c r="I85"/>
      <c r="J85"/>
      <c r="K85" s="423"/>
      <c r="L85" s="424"/>
    </row>
    <row r="86" spans="1:13">
      <c r="H86"/>
      <c r="I86"/>
      <c r="J86"/>
      <c r="K86" s="425"/>
      <c r="L86" s="425"/>
    </row>
    <row r="87" spans="1:13" ht="16.5">
      <c r="J87" s="348"/>
    </row>
    <row r="88" spans="1:13" ht="16.5">
      <c r="J88" s="348"/>
    </row>
    <row r="89" spans="1:13" ht="16.5">
      <c r="J89" s="348"/>
    </row>
    <row r="90" spans="1:13" ht="16.5">
      <c r="J90" s="348"/>
    </row>
    <row r="91" spans="1:13" ht="16.5">
      <c r="J91" s="348"/>
    </row>
    <row r="92" spans="1:13" ht="16.5">
      <c r="J92" s="348"/>
    </row>
    <row r="93" spans="1:13" ht="16.5">
      <c r="J93" s="348"/>
    </row>
    <row r="94" spans="1:13" ht="16.5">
      <c r="J94" s="348"/>
    </row>
    <row r="95" spans="1:13" ht="16.5">
      <c r="J95" s="348"/>
    </row>
    <row r="96" spans="1:13" ht="16.5">
      <c r="J96" s="348"/>
    </row>
    <row r="97" spans="10:10" ht="16.5">
      <c r="J97" s="348"/>
    </row>
    <row r="98" spans="10:10" ht="16.5">
      <c r="J98" s="348"/>
    </row>
    <row r="99" spans="10:10" ht="16.5">
      <c r="J99" s="348"/>
    </row>
    <row r="100" spans="10:10" ht="16.5">
      <c r="J100" s="348"/>
    </row>
    <row r="101" spans="10:10" ht="16.5">
      <c r="J101" s="348"/>
    </row>
    <row r="102" spans="10:10" ht="16.5">
      <c r="J102" s="348"/>
    </row>
    <row r="103" spans="10:10" ht="16.5">
      <c r="J103" s="348"/>
    </row>
    <row r="104" spans="10:10" ht="16.5">
      <c r="J104" s="348"/>
    </row>
    <row r="105" spans="10:10" ht="16.5">
      <c r="J105" s="348"/>
    </row>
    <row r="106" spans="10:10" ht="16.5">
      <c r="J106" s="348"/>
    </row>
    <row r="107" spans="10:10" ht="16.5">
      <c r="J107" s="348"/>
    </row>
    <row r="108" spans="10:10" ht="16.5">
      <c r="J108" s="348"/>
    </row>
    <row r="109" spans="10:10" ht="16.5">
      <c r="J109" s="348"/>
    </row>
    <row r="110" spans="10:10" ht="16.5">
      <c r="J110" s="348"/>
    </row>
    <row r="111" spans="10:10" ht="16.5">
      <c r="J111" s="348"/>
    </row>
    <row r="112" spans="10:10" ht="16.5">
      <c r="J112" s="348"/>
    </row>
    <row r="113" spans="10:10" ht="16.5">
      <c r="J113" s="348"/>
    </row>
    <row r="114" spans="10:10" ht="16.5">
      <c r="J114" s="348"/>
    </row>
    <row r="115" spans="10:10" ht="16.5">
      <c r="J115" s="348"/>
    </row>
    <row r="116" spans="10:10" ht="16.5">
      <c r="J116" s="348"/>
    </row>
    <row r="117" spans="10:10" ht="16.5">
      <c r="J117" s="348"/>
    </row>
    <row r="118" spans="10:10" ht="16.5">
      <c r="J118" s="348"/>
    </row>
    <row r="119" spans="10:10" ht="16.5">
      <c r="J119" s="348"/>
    </row>
    <row r="120" spans="10:10" ht="16.5">
      <c r="J120" s="348"/>
    </row>
    <row r="121" spans="10:10" ht="16.5">
      <c r="J121" s="348"/>
    </row>
    <row r="122" spans="10:10" ht="16.5">
      <c r="J122" s="348"/>
    </row>
    <row r="123" spans="10:10" ht="16.5">
      <c r="J123" s="348"/>
    </row>
    <row r="124" spans="10:10" ht="16.5">
      <c r="J124" s="348"/>
    </row>
    <row r="125" spans="10:10" ht="16.5">
      <c r="J125" s="348"/>
    </row>
  </sheetData>
  <mergeCells count="4">
    <mergeCell ref="A7:D7"/>
    <mergeCell ref="A4:D4"/>
    <mergeCell ref="A5:D5"/>
    <mergeCell ref="A6:D6"/>
  </mergeCells>
  <phoneticPr fontId="57" type="noConversion"/>
  <pageMargins left="0.7" right="0.7" top="0.75" bottom="0.75" header="0.3" footer="0.3"/>
  <pageSetup scale="10" orientation="portrait" r:id="rId1"/>
  <headerFooter>
    <oddHeader>&amp;RCompliance Filing Attachment A</oddHeader>
  </headerFooter>
  <rowBreaks count="1" manualBreakCount="1">
    <brk id="84" max="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AD86-6C87-483A-94C7-2D3383DBAA3F}">
  <sheetPr>
    <tabColor rgb="FF92D050"/>
  </sheetPr>
  <dimension ref="A1:AD60"/>
  <sheetViews>
    <sheetView zoomScaleNormal="100" zoomScaleSheetLayoutView="80" zoomScalePageLayoutView="90" workbookViewId="0">
      <selection sqref="A1:R1"/>
    </sheetView>
  </sheetViews>
  <sheetFormatPr defaultRowHeight="15"/>
  <cols>
    <col min="1" max="1" width="7.6640625" customWidth="1"/>
    <col min="2" max="2" width="12.109375" customWidth="1"/>
    <col min="3" max="3" width="11.88671875" customWidth="1"/>
    <col min="4" max="4" width="10.6640625" customWidth="1"/>
    <col min="5" max="5" width="10.5546875" customWidth="1"/>
    <col min="6" max="9" width="8.88671875" customWidth="1"/>
    <col min="10" max="10" width="10.21875" customWidth="1"/>
    <col min="11" max="11" width="10.44140625" customWidth="1"/>
    <col min="12" max="12" width="9.6640625" customWidth="1"/>
    <col min="13" max="19" width="8.88671875" customWidth="1"/>
    <col min="20" max="20" width="9.6640625" customWidth="1"/>
    <col min="21" max="22" width="8.88671875" customWidth="1"/>
    <col min="23" max="23" width="10.5546875" customWidth="1"/>
    <col min="24" max="24" width="8.88671875" customWidth="1"/>
    <col min="25" max="25" width="10.88671875" customWidth="1"/>
    <col min="26" max="30" width="8.88671875" customWidth="1"/>
  </cols>
  <sheetData>
    <row r="1" spans="1:30" ht="15.75">
      <c r="A1" s="1025" t="s">
        <v>604</v>
      </c>
      <c r="B1" s="1025"/>
      <c r="C1" s="1025"/>
      <c r="D1" s="1025"/>
      <c r="E1" s="1025"/>
      <c r="F1" s="1025"/>
      <c r="G1" s="1025"/>
      <c r="H1" s="1025"/>
      <c r="I1" s="1025"/>
      <c r="J1" s="1025"/>
      <c r="K1" s="1025"/>
      <c r="L1" s="1025"/>
      <c r="M1" s="1025"/>
      <c r="N1" s="1025"/>
      <c r="O1" s="1025"/>
      <c r="P1" s="1025"/>
      <c r="Q1" s="1025"/>
      <c r="R1" s="1025"/>
      <c r="S1" s="444"/>
      <c r="T1" s="444"/>
      <c r="U1" s="444"/>
      <c r="V1" s="444"/>
      <c r="W1" s="444"/>
      <c r="X1" s="444"/>
      <c r="Y1" s="444"/>
      <c r="Z1" s="444"/>
      <c r="AA1" s="444"/>
      <c r="AB1" s="444"/>
      <c r="AC1" s="444"/>
      <c r="AD1" s="444"/>
    </row>
    <row r="2" spans="1:30" ht="18">
      <c r="A2" s="1025" t="s">
        <v>452</v>
      </c>
      <c r="B2" s="1025"/>
      <c r="C2" s="1025"/>
      <c r="D2" s="1025"/>
      <c r="E2" s="1025"/>
      <c r="F2" s="1025"/>
      <c r="G2" s="1025"/>
      <c r="H2" s="1025"/>
      <c r="I2" s="1025"/>
      <c r="J2" s="1025"/>
      <c r="K2" s="1025"/>
      <c r="L2" s="1025"/>
      <c r="M2" s="1025"/>
      <c r="N2" s="1025"/>
      <c r="O2" s="1025"/>
      <c r="P2" s="1025"/>
      <c r="Q2" s="1025"/>
      <c r="R2" s="1025"/>
      <c r="S2" s="800"/>
      <c r="T2" s="800"/>
      <c r="U2" s="800"/>
      <c r="V2" s="800"/>
      <c r="W2" s="800"/>
      <c r="X2" s="800"/>
      <c r="Y2" s="800"/>
      <c r="Z2" s="800"/>
      <c r="AA2" s="800"/>
      <c r="AB2" s="800"/>
      <c r="AC2" s="444"/>
      <c r="AD2" s="444"/>
    </row>
    <row r="3" spans="1:30" ht="15.75">
      <c r="A3" s="1013" t="s">
        <v>590</v>
      </c>
      <c r="B3" s="1013"/>
      <c r="C3" s="1013"/>
      <c r="D3" s="1013"/>
      <c r="E3" s="1013"/>
      <c r="F3" s="1013"/>
      <c r="G3" s="1013"/>
      <c r="H3" s="1013"/>
      <c r="I3" s="1013"/>
      <c r="J3" s="1013"/>
      <c r="K3" s="1013"/>
      <c r="L3" s="1013"/>
      <c r="M3" s="1013"/>
      <c r="N3" s="1013"/>
      <c r="O3" s="1013"/>
      <c r="P3" s="1013"/>
      <c r="Q3" s="1013"/>
      <c r="R3" s="1013"/>
      <c r="S3" s="250"/>
      <c r="T3" s="250"/>
      <c r="U3" s="250"/>
      <c r="V3" s="250"/>
      <c r="W3" s="250"/>
      <c r="X3" s="250"/>
      <c r="Y3" s="250"/>
      <c r="Z3" s="250"/>
      <c r="AA3" s="250"/>
      <c r="AB3" s="250"/>
      <c r="AC3" s="444"/>
      <c r="AD3" s="444"/>
    </row>
    <row r="4" spans="1:30">
      <c r="A4" s="445"/>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5"/>
      <c r="AC4" s="444"/>
      <c r="AD4" s="444"/>
    </row>
    <row r="5" spans="1:30">
      <c r="F5" s="1026"/>
      <c r="G5" s="1026"/>
      <c r="H5" s="1026"/>
      <c r="I5" s="1026"/>
      <c r="J5" s="1026"/>
      <c r="K5" s="1026"/>
      <c r="L5" s="1026"/>
      <c r="M5" s="1026"/>
      <c r="N5" s="1026"/>
      <c r="O5" s="1026"/>
      <c r="P5" s="1026"/>
      <c r="Q5" s="1026"/>
      <c r="R5" s="1026"/>
      <c r="S5" s="444" t="s">
        <v>685</v>
      </c>
      <c r="T5" s="444"/>
      <c r="U5" s="444"/>
      <c r="V5" s="444"/>
      <c r="W5" s="444"/>
      <c r="X5" s="444"/>
      <c r="Y5" s="444"/>
      <c r="Z5" s="444"/>
      <c r="AA5" s="444"/>
      <c r="AB5" s="444"/>
      <c r="AC5" s="444"/>
      <c r="AD5" s="444"/>
    </row>
    <row r="6" spans="1:30">
      <c r="A6" s="461" t="s">
        <v>357</v>
      </c>
      <c r="B6" s="444"/>
      <c r="C6" s="444"/>
      <c r="D6" s="444"/>
      <c r="E6" s="444"/>
      <c r="F6" s="1027"/>
      <c r="G6" s="1027"/>
      <c r="H6" s="1027"/>
      <c r="I6" s="1027"/>
      <c r="J6" s="1027"/>
      <c r="K6" s="1027"/>
      <c r="L6" s="1027"/>
      <c r="M6" s="1027"/>
      <c r="N6" s="1027"/>
      <c r="O6" s="1027"/>
      <c r="P6" s="1027"/>
      <c r="Q6" s="1027"/>
      <c r="R6" s="1027"/>
      <c r="S6" s="444"/>
      <c r="T6" s="444"/>
      <c r="U6" s="444"/>
      <c r="V6" s="444"/>
      <c r="W6" s="444"/>
      <c r="X6" s="444"/>
      <c r="Y6" s="444"/>
      <c r="Z6" s="444"/>
      <c r="AA6" s="444"/>
      <c r="AB6" s="444"/>
      <c r="AC6" s="444"/>
      <c r="AD6" s="444"/>
    </row>
    <row r="7" spans="1:30">
      <c r="A7" s="447"/>
      <c r="B7" s="448"/>
      <c r="C7" s="448"/>
      <c r="D7" s="448"/>
      <c r="E7" s="449"/>
      <c r="F7" s="448"/>
      <c r="G7" s="449"/>
      <c r="H7" s="449"/>
      <c r="I7" s="449"/>
      <c r="J7" s="449"/>
      <c r="K7" s="449"/>
      <c r="L7" s="449"/>
      <c r="M7" s="449"/>
      <c r="N7" s="449"/>
      <c r="O7" s="449"/>
      <c r="P7" s="449"/>
      <c r="Q7" s="449"/>
      <c r="R7" s="449"/>
      <c r="S7" s="444"/>
      <c r="T7" s="444"/>
      <c r="U7" s="444"/>
      <c r="V7" s="444"/>
      <c r="W7" s="444"/>
      <c r="X7" s="444"/>
      <c r="Y7" s="444"/>
      <c r="Z7" s="444"/>
      <c r="AA7" s="444"/>
      <c r="AB7" s="444"/>
      <c r="AC7" s="444"/>
      <c r="AD7" s="444"/>
    </row>
    <row r="8" spans="1:30">
      <c r="A8" s="450"/>
      <c r="B8" s="451" t="s">
        <v>293</v>
      </c>
      <c r="C8" s="452" t="s">
        <v>294</v>
      </c>
      <c r="D8" s="453" t="s">
        <v>340</v>
      </c>
      <c r="E8" s="453" t="s">
        <v>306</v>
      </c>
      <c r="F8" s="453" t="s">
        <v>341</v>
      </c>
      <c r="G8" s="453" t="s">
        <v>308</v>
      </c>
      <c r="H8" s="453" t="s">
        <v>309</v>
      </c>
      <c r="I8" s="453" t="s">
        <v>310</v>
      </c>
      <c r="J8" s="453" t="s">
        <v>316</v>
      </c>
      <c r="K8" s="453" t="s">
        <v>317</v>
      </c>
      <c r="L8" s="453" t="s">
        <v>328</v>
      </c>
      <c r="M8" s="453" t="s">
        <v>329</v>
      </c>
      <c r="N8" s="453" t="s">
        <v>330</v>
      </c>
      <c r="O8" s="453" t="s">
        <v>331</v>
      </c>
      <c r="P8" s="453" t="s">
        <v>332</v>
      </c>
      <c r="Q8" s="452" t="s">
        <v>333</v>
      </c>
      <c r="R8" s="450" t="s">
        <v>334</v>
      </c>
      <c r="S8" s="444"/>
      <c r="T8" s="444"/>
      <c r="U8" s="444"/>
      <c r="V8" s="444"/>
      <c r="W8" s="444"/>
      <c r="X8" s="444"/>
      <c r="Y8" s="444"/>
      <c r="Z8" s="444"/>
      <c r="AA8" s="444"/>
      <c r="AB8" s="444"/>
      <c r="AC8" s="444"/>
      <c r="AD8" s="444"/>
    </row>
    <row r="9" spans="1:30">
      <c r="A9" s="1018" t="s">
        <v>31</v>
      </c>
      <c r="B9" s="1020" t="s">
        <v>342</v>
      </c>
      <c r="C9" s="1021" t="s">
        <v>343</v>
      </c>
      <c r="D9" s="1021" t="s">
        <v>354</v>
      </c>
      <c r="E9" s="454" t="s">
        <v>123</v>
      </c>
      <c r="F9" s="455" t="s">
        <v>199</v>
      </c>
      <c r="G9" s="454" t="s">
        <v>138</v>
      </c>
      <c r="H9" s="455" t="s">
        <v>137</v>
      </c>
      <c r="I9" s="454" t="s">
        <v>136</v>
      </c>
      <c r="J9" s="455" t="s">
        <v>148</v>
      </c>
      <c r="K9" s="454" t="s">
        <v>134</v>
      </c>
      <c r="L9" s="455" t="s">
        <v>132</v>
      </c>
      <c r="M9" s="454" t="s">
        <v>142</v>
      </c>
      <c r="N9" s="455" t="s">
        <v>141</v>
      </c>
      <c r="O9" s="454" t="s">
        <v>140</v>
      </c>
      <c r="P9" s="455" t="s">
        <v>124</v>
      </c>
      <c r="Q9" s="454" t="s">
        <v>123</v>
      </c>
      <c r="R9" s="1023" t="s">
        <v>409</v>
      </c>
      <c r="T9" s="444"/>
      <c r="U9" s="444"/>
      <c r="V9" s="444"/>
      <c r="W9" s="444"/>
      <c r="X9" s="444"/>
      <c r="Y9" s="444"/>
      <c r="Z9" s="444"/>
      <c r="AA9" s="444"/>
      <c r="AB9" s="444"/>
      <c r="AC9" s="444"/>
      <c r="AD9" s="444"/>
    </row>
    <row r="10" spans="1:30" ht="24" customHeight="1">
      <c r="A10" s="1019"/>
      <c r="B10" s="1019"/>
      <c r="C10" s="1022"/>
      <c r="D10" s="1022"/>
      <c r="E10" s="456" t="s">
        <v>437</v>
      </c>
      <c r="F10" s="893" t="str">
        <f>+$E$10</f>
        <v>2018</v>
      </c>
      <c r="G10" s="893" t="str">
        <f t="shared" ref="G10:L10" si="0">+$E$10</f>
        <v>2018</v>
      </c>
      <c r="H10" s="893" t="str">
        <f t="shared" si="0"/>
        <v>2018</v>
      </c>
      <c r="I10" s="893" t="str">
        <f t="shared" si="0"/>
        <v>2018</v>
      </c>
      <c r="J10" s="893" t="str">
        <f t="shared" si="0"/>
        <v>2018</v>
      </c>
      <c r="K10" s="893" t="str">
        <f t="shared" si="0"/>
        <v>2018</v>
      </c>
      <c r="L10" s="893" t="str">
        <f t="shared" si="0"/>
        <v>2018</v>
      </c>
      <c r="M10" s="893">
        <f>+L10+1</f>
        <v>2019</v>
      </c>
      <c r="N10" s="893">
        <f>+$M$10</f>
        <v>2019</v>
      </c>
      <c r="O10" s="893">
        <f t="shared" ref="O10:Q10" si="1">+$M$10</f>
        <v>2019</v>
      </c>
      <c r="P10" s="893">
        <f t="shared" si="1"/>
        <v>2019</v>
      </c>
      <c r="Q10" s="893">
        <f t="shared" si="1"/>
        <v>2019</v>
      </c>
      <c r="R10" s="1024"/>
      <c r="S10" s="924"/>
      <c r="T10" s="444"/>
      <c r="U10" s="444"/>
      <c r="V10" s="444"/>
      <c r="W10" s="444"/>
      <c r="X10" s="444"/>
      <c r="Y10" s="444"/>
      <c r="Z10" s="444"/>
      <c r="AA10" s="444"/>
      <c r="AB10" s="444"/>
      <c r="AC10" s="444"/>
      <c r="AD10" s="444"/>
    </row>
    <row r="11" spans="1:30">
      <c r="A11" s="733">
        <v>1</v>
      </c>
      <c r="B11" s="568"/>
      <c r="C11" s="457"/>
      <c r="D11" s="457"/>
      <c r="E11" s="457"/>
      <c r="F11" s="457"/>
      <c r="G11" s="457"/>
      <c r="H11" s="457"/>
      <c r="I11" s="457"/>
      <c r="J11" s="457"/>
      <c r="K11" s="457"/>
      <c r="L11" s="457"/>
      <c r="M11" s="457"/>
      <c r="N11" s="457"/>
      <c r="O11" s="457"/>
      <c r="P11" s="457"/>
      <c r="Q11" s="457"/>
      <c r="R11" s="569">
        <f t="shared" ref="R11:R20" si="2">IFERROR(SUM(E11:Q11)/13,0)</f>
        <v>0</v>
      </c>
      <c r="T11" s="444"/>
      <c r="U11" s="444"/>
      <c r="V11" s="444"/>
      <c r="W11" s="444"/>
      <c r="X11" s="444"/>
      <c r="Y11" s="444"/>
      <c r="Z11" s="444"/>
      <c r="AA11" s="444"/>
      <c r="AB11" s="444"/>
      <c r="AC11" s="444"/>
      <c r="AD11" s="444"/>
    </row>
    <row r="12" spans="1:30">
      <c r="A12" s="734">
        <f>+A11+1</f>
        <v>2</v>
      </c>
      <c r="B12" s="570"/>
      <c r="C12" s="457"/>
      <c r="D12" s="457"/>
      <c r="E12" s="457"/>
      <c r="F12" s="457"/>
      <c r="G12" s="457"/>
      <c r="H12" s="457"/>
      <c r="I12" s="457"/>
      <c r="J12" s="457"/>
      <c r="K12" s="457"/>
      <c r="L12" s="457"/>
      <c r="M12" s="457"/>
      <c r="N12" s="457"/>
      <c r="O12" s="457"/>
      <c r="P12" s="457"/>
      <c r="Q12" s="457"/>
      <c r="R12" s="569">
        <f t="shared" si="2"/>
        <v>0</v>
      </c>
      <c r="T12" s="444"/>
      <c r="U12" s="444"/>
      <c r="V12" s="444"/>
      <c r="W12" s="444"/>
      <c r="X12" s="444"/>
      <c r="Y12" s="444"/>
      <c r="Z12" s="444"/>
      <c r="AA12" s="444"/>
      <c r="AB12" s="444"/>
      <c r="AC12" s="444"/>
      <c r="AD12" s="444"/>
    </row>
    <row r="13" spans="1:30">
      <c r="A13" s="734">
        <f t="shared" ref="A13:A21" si="3">+A12+1</f>
        <v>3</v>
      </c>
      <c r="B13" s="570"/>
      <c r="C13" s="457"/>
      <c r="D13" s="457"/>
      <c r="E13" s="457"/>
      <c r="F13" s="457"/>
      <c r="G13" s="457"/>
      <c r="H13" s="457"/>
      <c r="I13" s="457"/>
      <c r="J13" s="457"/>
      <c r="K13" s="457"/>
      <c r="L13" s="457"/>
      <c r="M13" s="457"/>
      <c r="N13" s="457"/>
      <c r="O13" s="457"/>
      <c r="P13" s="457"/>
      <c r="Q13" s="457"/>
      <c r="R13" s="569">
        <f t="shared" si="2"/>
        <v>0</v>
      </c>
      <c r="T13" s="444"/>
      <c r="U13" s="444"/>
      <c r="V13" s="444"/>
      <c r="W13" s="444"/>
      <c r="X13" s="444"/>
      <c r="Y13" s="444"/>
      <c r="Z13" s="444"/>
      <c r="AA13" s="444"/>
      <c r="AB13" s="444"/>
      <c r="AC13" s="444"/>
      <c r="AD13" s="444"/>
    </row>
    <row r="14" spans="1:30">
      <c r="A14" s="734">
        <f t="shared" si="3"/>
        <v>4</v>
      </c>
      <c r="B14" s="570"/>
      <c r="C14" s="457"/>
      <c r="D14" s="457"/>
      <c r="E14" s="457"/>
      <c r="F14" s="457"/>
      <c r="G14" s="457"/>
      <c r="H14" s="457"/>
      <c r="I14" s="457"/>
      <c r="J14" s="457"/>
      <c r="K14" s="457"/>
      <c r="L14" s="457"/>
      <c r="M14" s="457"/>
      <c r="N14" s="457"/>
      <c r="O14" s="457"/>
      <c r="P14" s="457"/>
      <c r="Q14" s="457"/>
      <c r="R14" s="569">
        <f t="shared" si="2"/>
        <v>0</v>
      </c>
      <c r="T14" s="444"/>
      <c r="U14" s="444"/>
      <c r="V14" s="444"/>
      <c r="W14" s="444"/>
      <c r="X14" s="444"/>
      <c r="Y14" s="444"/>
      <c r="Z14" s="444"/>
      <c r="AA14" s="444"/>
      <c r="AB14" s="444"/>
      <c r="AC14" s="444"/>
      <c r="AD14" s="444"/>
    </row>
    <row r="15" spans="1:30">
      <c r="A15" s="734">
        <f t="shared" si="3"/>
        <v>5</v>
      </c>
      <c r="B15" s="570"/>
      <c r="C15" s="457"/>
      <c r="D15" s="457"/>
      <c r="E15" s="457"/>
      <c r="F15" s="457"/>
      <c r="G15" s="457"/>
      <c r="H15" s="457"/>
      <c r="I15" s="457"/>
      <c r="J15" s="457"/>
      <c r="K15" s="457"/>
      <c r="L15" s="457"/>
      <c r="M15" s="457"/>
      <c r="N15" s="457"/>
      <c r="O15" s="457"/>
      <c r="P15" s="457"/>
      <c r="Q15" s="457"/>
      <c r="R15" s="569">
        <f t="shared" si="2"/>
        <v>0</v>
      </c>
      <c r="T15" s="444"/>
      <c r="U15" s="444"/>
      <c r="V15" s="444"/>
      <c r="W15" s="444"/>
      <c r="X15" s="444"/>
      <c r="Y15" s="444"/>
      <c r="Z15" s="444"/>
      <c r="AA15" s="444"/>
      <c r="AB15" s="444"/>
      <c r="AC15" s="444"/>
      <c r="AD15" s="444"/>
    </row>
    <row r="16" spans="1:30">
      <c r="A16" s="734">
        <f t="shared" si="3"/>
        <v>6</v>
      </c>
      <c r="B16" s="570"/>
      <c r="C16" s="457"/>
      <c r="D16" s="457"/>
      <c r="E16" s="457"/>
      <c r="F16" s="457"/>
      <c r="G16" s="457"/>
      <c r="H16" s="457"/>
      <c r="I16" s="457"/>
      <c r="J16" s="457"/>
      <c r="K16" s="457"/>
      <c r="L16" s="457"/>
      <c r="M16" s="457"/>
      <c r="N16" s="457"/>
      <c r="O16" s="457"/>
      <c r="P16" s="457"/>
      <c r="Q16" s="457"/>
      <c r="R16" s="569">
        <f t="shared" si="2"/>
        <v>0</v>
      </c>
      <c r="T16" s="444"/>
      <c r="U16" s="444"/>
      <c r="V16" s="444"/>
      <c r="W16" s="444"/>
      <c r="X16" s="444"/>
      <c r="Y16" s="444"/>
      <c r="Z16" s="444"/>
      <c r="AA16" s="444"/>
      <c r="AB16" s="444"/>
      <c r="AC16" s="444"/>
      <c r="AD16" s="444"/>
    </row>
    <row r="17" spans="1:30">
      <c r="A17" s="734">
        <f t="shared" si="3"/>
        <v>7</v>
      </c>
      <c r="B17" s="570"/>
      <c r="C17" s="457"/>
      <c r="D17" s="457"/>
      <c r="E17" s="457"/>
      <c r="F17" s="457"/>
      <c r="G17" s="457"/>
      <c r="H17" s="457"/>
      <c r="I17" s="457"/>
      <c r="J17" s="457"/>
      <c r="K17" s="457"/>
      <c r="L17" s="457"/>
      <c r="M17" s="457"/>
      <c r="N17" s="457"/>
      <c r="O17" s="457"/>
      <c r="P17" s="457"/>
      <c r="Q17" s="457"/>
      <c r="R17" s="569">
        <f t="shared" si="2"/>
        <v>0</v>
      </c>
      <c r="T17" s="444"/>
      <c r="U17" s="444"/>
      <c r="V17" s="444"/>
      <c r="W17" s="444"/>
      <c r="X17" s="444"/>
      <c r="Y17" s="444"/>
      <c r="Z17" s="444"/>
      <c r="AA17" s="444"/>
      <c r="AB17" s="444"/>
      <c r="AC17" s="444"/>
      <c r="AD17" s="444"/>
    </row>
    <row r="18" spans="1:30">
      <c r="A18" s="734">
        <f t="shared" si="3"/>
        <v>8</v>
      </c>
      <c r="B18" s="570"/>
      <c r="C18" s="457"/>
      <c r="D18" s="457"/>
      <c r="E18" s="457"/>
      <c r="F18" s="457"/>
      <c r="G18" s="457"/>
      <c r="H18" s="457"/>
      <c r="I18" s="457"/>
      <c r="J18" s="457"/>
      <c r="K18" s="457"/>
      <c r="L18" s="457"/>
      <c r="M18" s="457"/>
      <c r="N18" s="457"/>
      <c r="O18" s="457"/>
      <c r="P18" s="457"/>
      <c r="Q18" s="457"/>
      <c r="R18" s="569">
        <f>IFERROR(SUM(E18:Q18)/13,0)</f>
        <v>0</v>
      </c>
      <c r="T18" s="444"/>
      <c r="U18" s="444"/>
      <c r="V18" s="444"/>
      <c r="W18" s="444"/>
      <c r="X18" s="444"/>
      <c r="Y18" s="444"/>
      <c r="Z18" s="444"/>
      <c r="AA18" s="444"/>
      <c r="AB18" s="444"/>
      <c r="AC18" s="444"/>
      <c r="AD18" s="444"/>
    </row>
    <row r="19" spans="1:30">
      <c r="A19" s="734">
        <f t="shared" si="3"/>
        <v>9</v>
      </c>
      <c r="B19" s="570"/>
      <c r="C19" s="457"/>
      <c r="D19" s="457"/>
      <c r="E19" s="457"/>
      <c r="F19" s="457"/>
      <c r="G19" s="457"/>
      <c r="H19" s="457"/>
      <c r="I19" s="457"/>
      <c r="J19" s="457"/>
      <c r="K19" s="457"/>
      <c r="L19" s="457"/>
      <c r="M19" s="457"/>
      <c r="N19" s="457"/>
      <c r="O19" s="457"/>
      <c r="P19" s="457"/>
      <c r="Q19" s="457"/>
      <c r="R19" s="569">
        <f t="shared" si="2"/>
        <v>0</v>
      </c>
      <c r="T19" s="444"/>
      <c r="U19" s="444"/>
      <c r="V19" s="444"/>
      <c r="W19" s="444"/>
      <c r="X19" s="444"/>
      <c r="Y19" s="444"/>
      <c r="Z19" s="444"/>
      <c r="AA19" s="444"/>
      <c r="AB19" s="444"/>
      <c r="AC19" s="444"/>
      <c r="AD19" s="444"/>
    </row>
    <row r="20" spans="1:30">
      <c r="A20" s="734">
        <f t="shared" si="3"/>
        <v>10</v>
      </c>
      <c r="B20" s="571"/>
      <c r="C20" s="458"/>
      <c r="D20" s="458"/>
      <c r="E20" s="458"/>
      <c r="F20" s="458"/>
      <c r="G20" s="458"/>
      <c r="H20" s="458"/>
      <c r="I20" s="458"/>
      <c r="J20" s="458"/>
      <c r="K20" s="458"/>
      <c r="L20" s="458"/>
      <c r="M20" s="458"/>
      <c r="N20" s="458"/>
      <c r="O20" s="458"/>
      <c r="P20" s="458"/>
      <c r="Q20" s="458"/>
      <c r="R20" s="572">
        <f t="shared" si="2"/>
        <v>0</v>
      </c>
      <c r="T20" s="444"/>
      <c r="U20" s="444"/>
      <c r="V20" s="444"/>
      <c r="W20" s="444"/>
      <c r="X20" s="444"/>
      <c r="Y20" s="444"/>
      <c r="Z20" s="444"/>
      <c r="AA20" s="444"/>
      <c r="AB20" s="444"/>
      <c r="AC20" s="444"/>
      <c r="AD20" s="444"/>
    </row>
    <row r="21" spans="1:30">
      <c r="A21" s="734">
        <f t="shared" si="3"/>
        <v>11</v>
      </c>
      <c r="B21" s="463"/>
      <c r="C21" s="459"/>
      <c r="D21" s="459" t="s">
        <v>407</v>
      </c>
      <c r="F21" s="460"/>
      <c r="G21" s="460"/>
      <c r="H21" s="460"/>
      <c r="I21" s="460"/>
      <c r="J21" s="460"/>
      <c r="K21" s="460"/>
      <c r="L21" s="460"/>
      <c r="M21" s="460"/>
      <c r="N21" s="447"/>
      <c r="O21" s="447"/>
      <c r="P21" s="447"/>
      <c r="Q21" s="447"/>
      <c r="R21" s="562">
        <f>SUM(R11:R20)</f>
        <v>0</v>
      </c>
      <c r="T21" s="444"/>
      <c r="U21" s="444"/>
      <c r="V21" s="444"/>
      <c r="W21" s="444"/>
      <c r="X21" s="444"/>
      <c r="Y21" s="444"/>
      <c r="Z21" s="444"/>
      <c r="AA21" s="444"/>
      <c r="AB21" s="444"/>
      <c r="AC21" s="444"/>
      <c r="AD21" s="444"/>
    </row>
    <row r="22" spans="1:30">
      <c r="A22" s="444"/>
      <c r="B22" s="444"/>
      <c r="C22" s="444"/>
      <c r="D22" s="444"/>
      <c r="F22" s="444"/>
      <c r="G22" s="444"/>
      <c r="H22" s="444"/>
      <c r="I22" s="444"/>
      <c r="J22" s="444"/>
      <c r="K22" s="444"/>
      <c r="L22" s="444"/>
      <c r="M22" s="444"/>
      <c r="N22" s="444"/>
      <c r="O22" s="444"/>
      <c r="P22" s="444"/>
      <c r="Q22" s="444"/>
      <c r="R22" s="444"/>
      <c r="S22" s="444"/>
      <c r="T22" s="444"/>
      <c r="U22" s="444"/>
      <c r="V22" s="444"/>
      <c r="W22" s="444"/>
      <c r="X22" s="444"/>
      <c r="Y22" s="444"/>
      <c r="Z22" s="444"/>
      <c r="AA22" s="444"/>
      <c r="AB22" s="444"/>
      <c r="AC22" s="444"/>
      <c r="AD22" s="444"/>
    </row>
    <row r="23" spans="1:30">
      <c r="A23" s="445"/>
      <c r="B23" s="445"/>
      <c r="C23" s="445"/>
      <c r="D23" s="445"/>
      <c r="E23" s="445"/>
      <c r="F23" s="445"/>
      <c r="G23" s="445"/>
      <c r="H23" s="445"/>
      <c r="I23" s="445"/>
      <c r="J23" s="445"/>
      <c r="K23" s="445"/>
      <c r="L23" s="445"/>
      <c r="M23" s="445"/>
      <c r="N23" s="445"/>
      <c r="O23" s="445"/>
      <c r="P23" s="445"/>
      <c r="Q23" s="445"/>
      <c r="R23" s="445"/>
      <c r="S23" s="445"/>
      <c r="T23" s="445"/>
      <c r="U23" s="445"/>
      <c r="V23" s="445"/>
      <c r="W23" s="444"/>
      <c r="X23" s="444"/>
      <c r="Y23" s="444"/>
      <c r="Z23" s="444"/>
      <c r="AA23" s="444"/>
      <c r="AB23" s="444"/>
      <c r="AC23" s="444"/>
      <c r="AD23" s="444"/>
    </row>
    <row r="24" spans="1:30">
      <c r="A24" s="442"/>
      <c r="B24" s="446"/>
      <c r="C24" s="446"/>
      <c r="D24" s="446"/>
      <c r="E24" s="446"/>
      <c r="F24" s="446"/>
      <c r="G24" s="446"/>
      <c r="H24" s="446"/>
      <c r="I24" s="446"/>
      <c r="J24" s="446"/>
      <c r="K24" s="446"/>
      <c r="L24" s="446"/>
      <c r="M24" s="446"/>
      <c r="N24" s="444"/>
      <c r="O24" s="444"/>
      <c r="P24" s="444"/>
      <c r="Q24" s="444"/>
      <c r="R24" s="444"/>
      <c r="S24" s="444"/>
      <c r="T24" s="444"/>
      <c r="U24" s="444"/>
      <c r="V24" s="444"/>
      <c r="W24" s="444"/>
      <c r="X24" s="444"/>
      <c r="Y24" s="444"/>
      <c r="Z24" s="444"/>
      <c r="AA24" s="444"/>
      <c r="AB24" s="444"/>
      <c r="AC24" s="444"/>
      <c r="AD24" s="444"/>
    </row>
    <row r="25" spans="1:30">
      <c r="A25" s="575" t="s">
        <v>574</v>
      </c>
      <c r="B25" s="575"/>
      <c r="C25" s="575"/>
      <c r="D25" s="446"/>
      <c r="E25" s="446"/>
      <c r="F25" s="446"/>
      <c r="G25" s="446"/>
      <c r="H25" s="446"/>
      <c r="I25" s="446"/>
      <c r="J25" s="446"/>
      <c r="K25" s="446"/>
      <c r="L25" s="446"/>
      <c r="M25" s="446"/>
      <c r="N25" s="444"/>
      <c r="O25" s="444"/>
      <c r="P25" s="444"/>
      <c r="Q25" s="444"/>
      <c r="R25" s="444"/>
      <c r="S25" s="444"/>
      <c r="T25" s="444"/>
      <c r="U25" s="444"/>
      <c r="V25" s="444"/>
      <c r="W25" s="444"/>
      <c r="X25" s="444"/>
      <c r="Y25" s="444"/>
      <c r="Z25" s="444"/>
      <c r="AA25" s="444"/>
      <c r="AB25" s="444"/>
      <c r="AC25" s="444"/>
      <c r="AD25" s="444"/>
    </row>
    <row r="26" spans="1:30">
      <c r="A26" s="442"/>
      <c r="B26" s="446" t="s">
        <v>570</v>
      </c>
      <c r="C26" s="446"/>
      <c r="D26" s="446"/>
      <c r="E26" s="446"/>
      <c r="F26" s="446"/>
      <c r="G26" s="446"/>
      <c r="H26" s="446"/>
      <c r="I26" s="446"/>
      <c r="J26" s="446"/>
      <c r="K26" s="446"/>
      <c r="L26" s="446"/>
      <c r="M26" s="446"/>
      <c r="N26" s="444"/>
      <c r="O26" s="444"/>
      <c r="P26" s="444"/>
      <c r="Q26" s="444"/>
      <c r="R26" s="444"/>
      <c r="S26" s="444"/>
      <c r="T26" s="444"/>
      <c r="U26" s="444"/>
      <c r="V26" s="444"/>
      <c r="W26" s="444"/>
      <c r="X26" s="444"/>
      <c r="Y26" s="444"/>
      <c r="Z26" s="444"/>
      <c r="AA26" s="444"/>
      <c r="AB26" s="444"/>
      <c r="AC26" s="444"/>
      <c r="AD26" s="444"/>
    </row>
    <row r="27" spans="1:30" ht="15.75" thickBot="1">
      <c r="A27" s="442"/>
      <c r="B27" s="446"/>
      <c r="C27" s="446"/>
      <c r="D27" s="446"/>
      <c r="E27" s="446"/>
      <c r="F27" s="446"/>
      <c r="G27" s="446"/>
      <c r="H27" s="446"/>
      <c r="I27" s="446"/>
      <c r="J27" s="446"/>
      <c r="K27" s="446"/>
      <c r="L27" s="446"/>
      <c r="M27" s="446"/>
      <c r="N27" s="444"/>
      <c r="O27" s="444"/>
      <c r="P27" s="444"/>
      <c r="Q27" s="444"/>
      <c r="R27" s="444"/>
      <c r="S27" s="444"/>
      <c r="T27" s="444"/>
      <c r="U27" s="444"/>
      <c r="V27" s="444"/>
      <c r="W27" s="444"/>
      <c r="X27" s="444"/>
      <c r="Y27" s="444"/>
      <c r="Z27" s="444"/>
      <c r="AA27" s="444"/>
      <c r="AB27" s="444"/>
      <c r="AC27" s="444"/>
      <c r="AD27" s="444"/>
    </row>
    <row r="28" spans="1:30">
      <c r="A28" s="618"/>
      <c r="B28" s="737"/>
      <c r="C28" s="738" t="s">
        <v>344</v>
      </c>
      <c r="D28" s="739">
        <v>350</v>
      </c>
      <c r="E28" s="739">
        <v>352</v>
      </c>
      <c r="F28" s="739">
        <v>352</v>
      </c>
      <c r="G28" s="739">
        <v>353</v>
      </c>
      <c r="H28" s="739">
        <v>354</v>
      </c>
      <c r="I28" s="739">
        <v>355</v>
      </c>
      <c r="J28" s="739">
        <v>356</v>
      </c>
      <c r="K28" s="739">
        <v>357</v>
      </c>
      <c r="L28" s="739">
        <v>358</v>
      </c>
      <c r="M28" s="739">
        <v>356.3</v>
      </c>
      <c r="N28" s="740"/>
      <c r="O28" s="741"/>
      <c r="P28" s="742"/>
      <c r="Q28" s="444"/>
      <c r="R28" s="444"/>
      <c r="S28" s="444"/>
      <c r="T28" s="444"/>
      <c r="U28" s="444"/>
      <c r="V28" s="444"/>
      <c r="W28" s="444"/>
      <c r="X28" s="444"/>
      <c r="Y28" s="444"/>
      <c r="Z28" s="444"/>
      <c r="AA28" s="444"/>
      <c r="AB28" s="444"/>
      <c r="AC28" s="444"/>
      <c r="AD28" s="444"/>
    </row>
    <row r="29" spans="1:30" ht="58.5" customHeight="1">
      <c r="A29" s="619"/>
      <c r="B29" s="743"/>
      <c r="C29" s="894" t="s">
        <v>428</v>
      </c>
      <c r="D29" s="462" t="s">
        <v>345</v>
      </c>
      <c r="E29" s="462" t="s">
        <v>346</v>
      </c>
      <c r="F29" s="462" t="s">
        <v>347</v>
      </c>
      <c r="G29" s="462" t="s">
        <v>348</v>
      </c>
      <c r="H29" s="462" t="s">
        <v>349</v>
      </c>
      <c r="I29" s="462" t="s">
        <v>350</v>
      </c>
      <c r="J29" s="462" t="s">
        <v>351</v>
      </c>
      <c r="K29" s="462" t="s">
        <v>352</v>
      </c>
      <c r="L29" s="462" t="s">
        <v>353</v>
      </c>
      <c r="M29" s="462" t="s">
        <v>429</v>
      </c>
      <c r="N29" s="462" t="s">
        <v>35</v>
      </c>
      <c r="O29" s="744" t="s">
        <v>474</v>
      </c>
      <c r="P29" s="745" t="s">
        <v>475</v>
      </c>
      <c r="Q29" s="444"/>
      <c r="R29" s="444"/>
      <c r="S29" s="444"/>
      <c r="T29" s="444"/>
      <c r="U29" s="444"/>
      <c r="V29" s="444"/>
      <c r="W29" s="444"/>
      <c r="X29" s="444"/>
      <c r="Y29" s="444"/>
      <c r="Z29" s="444"/>
      <c r="AA29" s="444"/>
      <c r="AB29" s="444"/>
      <c r="AC29" s="444"/>
      <c r="AD29" s="444"/>
    </row>
    <row r="30" spans="1:30">
      <c r="A30" s="618">
        <f>+A21+1</f>
        <v>12</v>
      </c>
      <c r="B30" s="927" t="s">
        <v>571</v>
      </c>
      <c r="C30" s="895"/>
      <c r="D30" s="896"/>
      <c r="E30" s="896">
        <v>0</v>
      </c>
      <c r="F30" s="896"/>
      <c r="G30" s="896">
        <v>0</v>
      </c>
      <c r="H30" s="896"/>
      <c r="I30" s="896">
        <v>0</v>
      </c>
      <c r="J30" s="896">
        <v>0</v>
      </c>
      <c r="K30" s="896"/>
      <c r="L30" s="896"/>
      <c r="M30" s="896">
        <v>0</v>
      </c>
      <c r="N30" s="620">
        <f t="shared" ref="N30:N41" si="4">SUM(D30:M30)</f>
        <v>0</v>
      </c>
      <c r="O30" s="566">
        <v>0</v>
      </c>
      <c r="P30" s="746">
        <f>+N30-O30</f>
        <v>0</v>
      </c>
      <c r="Q30" s="924"/>
      <c r="R30" s="444"/>
      <c r="S30" s="444"/>
      <c r="T30" s="444"/>
      <c r="U30" s="444"/>
      <c r="V30" s="444"/>
      <c r="W30" s="444"/>
      <c r="X30" s="444"/>
      <c r="Y30" s="444"/>
      <c r="Z30" s="444"/>
      <c r="AA30" s="444"/>
      <c r="AB30" s="444"/>
      <c r="AC30" s="444"/>
      <c r="AD30" s="444"/>
    </row>
    <row r="31" spans="1:30">
      <c r="A31" s="735">
        <f>+A30+1</f>
        <v>13</v>
      </c>
      <c r="B31" s="897" t="s">
        <v>199</v>
      </c>
      <c r="C31" s="466"/>
      <c r="D31" s="441"/>
      <c r="E31" s="441"/>
      <c r="F31" s="441"/>
      <c r="G31" s="441"/>
      <c r="H31" s="441"/>
      <c r="I31" s="441"/>
      <c r="J31" s="441"/>
      <c r="K31" s="441"/>
      <c r="L31" s="441"/>
      <c r="M31" s="441"/>
      <c r="N31" s="620">
        <f t="shared" si="4"/>
        <v>0</v>
      </c>
      <c r="O31" s="566">
        <v>0</v>
      </c>
      <c r="P31" s="746">
        <f t="shared" ref="P31:P41" si="5">+N31-O31</f>
        <v>0</v>
      </c>
      <c r="Q31" s="444"/>
      <c r="R31" s="444"/>
      <c r="S31" s="444"/>
      <c r="T31" s="444"/>
      <c r="U31" s="444"/>
      <c r="V31" s="444"/>
      <c r="W31" s="444"/>
      <c r="X31" s="444"/>
      <c r="Y31" s="444"/>
      <c r="Z31" s="444"/>
      <c r="AA31" s="444"/>
      <c r="AB31" s="444"/>
      <c r="AC31" s="444"/>
      <c r="AD31" s="444"/>
    </row>
    <row r="32" spans="1:30">
      <c r="A32" s="735">
        <f t="shared" ref="A32:A41" si="6">+A31+1</f>
        <v>14</v>
      </c>
      <c r="B32" s="897" t="s">
        <v>138</v>
      </c>
      <c r="C32" s="466"/>
      <c r="D32" s="441"/>
      <c r="E32" s="441"/>
      <c r="F32" s="441"/>
      <c r="G32" s="441"/>
      <c r="H32" s="441"/>
      <c r="I32" s="441"/>
      <c r="J32" s="441"/>
      <c r="K32" s="441"/>
      <c r="L32" s="441"/>
      <c r="M32" s="441"/>
      <c r="N32" s="620">
        <f t="shared" si="4"/>
        <v>0</v>
      </c>
      <c r="O32" s="566">
        <v>0</v>
      </c>
      <c r="P32" s="746">
        <f t="shared" si="5"/>
        <v>0</v>
      </c>
      <c r="Q32" s="444"/>
      <c r="R32" s="444"/>
      <c r="S32" s="444"/>
      <c r="T32" s="444"/>
      <c r="U32" s="444"/>
      <c r="V32" s="444"/>
      <c r="W32" s="444"/>
      <c r="X32" s="444"/>
      <c r="Y32" s="444"/>
      <c r="Z32" s="444"/>
      <c r="AA32" s="444"/>
      <c r="AB32" s="444"/>
      <c r="AC32" s="444"/>
      <c r="AD32" s="444"/>
    </row>
    <row r="33" spans="1:30">
      <c r="A33" s="735">
        <f t="shared" si="6"/>
        <v>15</v>
      </c>
      <c r="B33" s="897" t="s">
        <v>137</v>
      </c>
      <c r="C33" s="466"/>
      <c r="D33" s="441"/>
      <c r="E33" s="441"/>
      <c r="F33" s="441"/>
      <c r="G33" s="441"/>
      <c r="H33" s="441"/>
      <c r="I33" s="441"/>
      <c r="J33" s="441"/>
      <c r="K33" s="441"/>
      <c r="L33" s="441"/>
      <c r="M33" s="441"/>
      <c r="N33" s="620">
        <f t="shared" si="4"/>
        <v>0</v>
      </c>
      <c r="O33" s="566">
        <v>0</v>
      </c>
      <c r="P33" s="746">
        <f t="shared" si="5"/>
        <v>0</v>
      </c>
      <c r="Q33" s="444"/>
      <c r="R33" s="444"/>
      <c r="S33" s="444"/>
      <c r="T33" s="444"/>
      <c r="U33" s="444"/>
      <c r="V33" s="444"/>
      <c r="W33" s="444"/>
      <c r="X33" s="444"/>
      <c r="Y33" s="444"/>
      <c r="Z33" s="444"/>
      <c r="AA33" s="444"/>
      <c r="AB33" s="444"/>
      <c r="AC33" s="444"/>
      <c r="AD33" s="444"/>
    </row>
    <row r="34" spans="1:30">
      <c r="A34" s="735">
        <f t="shared" si="6"/>
        <v>16</v>
      </c>
      <c r="B34" s="897" t="s">
        <v>136</v>
      </c>
      <c r="C34" s="466"/>
      <c r="D34" s="441"/>
      <c r="E34" s="441"/>
      <c r="F34" s="441"/>
      <c r="G34" s="441"/>
      <c r="H34" s="441"/>
      <c r="I34" s="441"/>
      <c r="J34" s="441"/>
      <c r="K34" s="441"/>
      <c r="L34" s="441"/>
      <c r="M34" s="441"/>
      <c r="N34" s="620">
        <f t="shared" si="4"/>
        <v>0</v>
      </c>
      <c r="O34" s="566">
        <v>0</v>
      </c>
      <c r="P34" s="746">
        <f t="shared" si="5"/>
        <v>0</v>
      </c>
      <c r="Q34" s="444"/>
      <c r="R34" s="444"/>
      <c r="S34" s="444"/>
      <c r="T34" s="444"/>
      <c r="U34" s="444"/>
      <c r="V34" s="444"/>
      <c r="W34" s="444"/>
      <c r="X34" s="444"/>
      <c r="Y34" s="444"/>
      <c r="Z34" s="444"/>
      <c r="AA34" s="444"/>
      <c r="AB34" s="444"/>
      <c r="AC34" s="444"/>
      <c r="AD34" s="444"/>
    </row>
    <row r="35" spans="1:30">
      <c r="A35" s="735">
        <f t="shared" si="6"/>
        <v>17</v>
      </c>
      <c r="B35" s="897" t="s">
        <v>148</v>
      </c>
      <c r="C35" s="466"/>
      <c r="D35" s="441"/>
      <c r="E35" s="441"/>
      <c r="F35" s="441"/>
      <c r="G35" s="441"/>
      <c r="H35" s="441"/>
      <c r="I35" s="441"/>
      <c r="J35" s="441"/>
      <c r="K35" s="441"/>
      <c r="L35" s="441"/>
      <c r="M35" s="441"/>
      <c r="N35" s="620">
        <f t="shared" si="4"/>
        <v>0</v>
      </c>
      <c r="O35" s="566">
        <v>0</v>
      </c>
      <c r="P35" s="746">
        <f t="shared" si="5"/>
        <v>0</v>
      </c>
      <c r="Q35" s="444"/>
      <c r="R35" s="444"/>
      <c r="S35" s="444"/>
      <c r="T35" s="444"/>
      <c r="U35" s="444"/>
      <c r="V35" s="444"/>
      <c r="W35" s="444"/>
      <c r="X35" s="444"/>
      <c r="Y35" s="444"/>
      <c r="Z35" s="444"/>
      <c r="AA35" s="444"/>
      <c r="AB35" s="444"/>
      <c r="AC35" s="444"/>
      <c r="AD35" s="444"/>
    </row>
    <row r="36" spans="1:30">
      <c r="A36" s="735">
        <f t="shared" si="6"/>
        <v>18</v>
      </c>
      <c r="B36" s="897" t="s">
        <v>134</v>
      </c>
      <c r="C36" s="466"/>
      <c r="D36" s="441"/>
      <c r="E36" s="441"/>
      <c r="F36" s="441"/>
      <c r="G36" s="441"/>
      <c r="H36" s="441"/>
      <c r="I36" s="441"/>
      <c r="J36" s="441"/>
      <c r="K36" s="441"/>
      <c r="L36" s="441"/>
      <c r="M36" s="441"/>
      <c r="N36" s="620">
        <f t="shared" si="4"/>
        <v>0</v>
      </c>
      <c r="O36" s="566">
        <v>0</v>
      </c>
      <c r="P36" s="746">
        <f t="shared" si="5"/>
        <v>0</v>
      </c>
      <c r="Q36" s="444"/>
      <c r="R36" s="444"/>
      <c r="S36" s="444"/>
      <c r="T36" s="444"/>
      <c r="U36" s="444"/>
      <c r="V36" s="444"/>
      <c r="W36" s="444"/>
      <c r="X36" s="444"/>
      <c r="Y36" s="444"/>
      <c r="Z36" s="444"/>
      <c r="AA36" s="444"/>
      <c r="AB36" s="444"/>
      <c r="AC36" s="444"/>
      <c r="AD36" s="444"/>
    </row>
    <row r="37" spans="1:30">
      <c r="A37" s="735">
        <f t="shared" si="6"/>
        <v>19</v>
      </c>
      <c r="B37" s="897" t="s">
        <v>132</v>
      </c>
      <c r="C37" s="466"/>
      <c r="D37" s="441"/>
      <c r="E37" s="441"/>
      <c r="F37" s="441"/>
      <c r="G37" s="441"/>
      <c r="H37" s="441"/>
      <c r="I37" s="441"/>
      <c r="J37" s="441"/>
      <c r="K37" s="441"/>
      <c r="L37" s="441"/>
      <c r="M37" s="441"/>
      <c r="N37" s="620">
        <f t="shared" si="4"/>
        <v>0</v>
      </c>
      <c r="O37" s="566">
        <v>0</v>
      </c>
      <c r="P37" s="746">
        <f t="shared" si="5"/>
        <v>0</v>
      </c>
      <c r="Q37" s="444"/>
      <c r="R37" s="444"/>
      <c r="S37" s="444"/>
      <c r="T37" s="444"/>
      <c r="U37" s="444"/>
      <c r="V37" s="444"/>
      <c r="W37" s="444"/>
      <c r="X37" s="444"/>
      <c r="Y37" s="444"/>
      <c r="Z37" s="444"/>
      <c r="AA37" s="444"/>
      <c r="AB37" s="444"/>
      <c r="AC37" s="444"/>
      <c r="AD37" s="444"/>
    </row>
    <row r="38" spans="1:30">
      <c r="A38" s="735">
        <f t="shared" si="6"/>
        <v>20</v>
      </c>
      <c r="B38" s="747" t="s">
        <v>572</v>
      </c>
      <c r="C38" s="466"/>
      <c r="D38" s="441"/>
      <c r="E38" s="441"/>
      <c r="F38" s="441"/>
      <c r="G38" s="441"/>
      <c r="H38" s="441"/>
      <c r="I38" s="441"/>
      <c r="J38" s="441"/>
      <c r="K38" s="441"/>
      <c r="L38" s="441"/>
      <c r="M38" s="441"/>
      <c r="N38" s="620">
        <f t="shared" si="4"/>
        <v>0</v>
      </c>
      <c r="O38" s="566">
        <v>0</v>
      </c>
      <c r="P38" s="746">
        <f t="shared" si="5"/>
        <v>0</v>
      </c>
      <c r="Q38" s="444"/>
      <c r="R38" s="444"/>
      <c r="S38" s="444"/>
      <c r="T38" s="444"/>
      <c r="U38" s="444"/>
      <c r="V38" s="444"/>
      <c r="W38" s="444"/>
      <c r="X38" s="444"/>
      <c r="Y38" s="444"/>
      <c r="Z38" s="444"/>
      <c r="AA38" s="444"/>
      <c r="AB38" s="444"/>
      <c r="AC38" s="444"/>
      <c r="AD38" s="444"/>
    </row>
    <row r="39" spans="1:30">
      <c r="A39" s="735">
        <f t="shared" si="6"/>
        <v>21</v>
      </c>
      <c r="B39" s="897" t="s">
        <v>141</v>
      </c>
      <c r="C39" s="466"/>
      <c r="D39" s="441"/>
      <c r="E39" s="441"/>
      <c r="F39" s="441"/>
      <c r="G39" s="441"/>
      <c r="H39" s="441"/>
      <c r="I39" s="441"/>
      <c r="J39" s="441"/>
      <c r="K39" s="441"/>
      <c r="L39" s="441"/>
      <c r="M39" s="441"/>
      <c r="N39" s="620">
        <f>SUM(D39:M39)</f>
        <v>0</v>
      </c>
      <c r="O39" s="566">
        <v>0</v>
      </c>
      <c r="P39" s="746">
        <f t="shared" si="5"/>
        <v>0</v>
      </c>
      <c r="Q39" s="444"/>
      <c r="R39" s="444"/>
      <c r="S39" s="444"/>
      <c r="T39" s="444"/>
      <c r="U39" s="444"/>
      <c r="V39" s="444"/>
      <c r="W39" s="444"/>
      <c r="X39" s="444"/>
      <c r="Y39" s="444"/>
      <c r="Z39" s="444"/>
      <c r="AA39" s="444"/>
      <c r="AB39" s="444"/>
      <c r="AC39" s="444"/>
      <c r="AD39" s="444"/>
    </row>
    <row r="40" spans="1:30">
      <c r="A40" s="735">
        <f t="shared" si="6"/>
        <v>22</v>
      </c>
      <c r="B40" s="897" t="s">
        <v>140</v>
      </c>
      <c r="C40" s="466"/>
      <c r="D40" s="441"/>
      <c r="E40" s="441"/>
      <c r="F40" s="441"/>
      <c r="G40" s="441"/>
      <c r="H40" s="441"/>
      <c r="I40" s="441"/>
      <c r="J40" s="441"/>
      <c r="K40" s="441"/>
      <c r="L40" s="441"/>
      <c r="M40" s="441"/>
      <c r="N40" s="620">
        <f t="shared" si="4"/>
        <v>0</v>
      </c>
      <c r="O40" s="566">
        <v>0</v>
      </c>
      <c r="P40" s="746">
        <f t="shared" si="5"/>
        <v>0</v>
      </c>
      <c r="Q40" s="444"/>
      <c r="R40" s="444"/>
      <c r="S40" s="444"/>
      <c r="T40" s="444"/>
      <c r="U40" s="444"/>
      <c r="V40" s="444"/>
      <c r="W40" s="444"/>
      <c r="X40" s="444"/>
      <c r="Y40" s="444"/>
      <c r="Z40" s="444"/>
      <c r="AA40" s="444"/>
      <c r="AB40" s="444"/>
      <c r="AC40" s="444"/>
      <c r="AD40" s="444"/>
    </row>
    <row r="41" spans="1:30">
      <c r="A41" s="735">
        <f t="shared" si="6"/>
        <v>23</v>
      </c>
      <c r="B41" s="898" t="s">
        <v>124</v>
      </c>
      <c r="C41" s="466"/>
      <c r="D41" s="441"/>
      <c r="E41" s="441"/>
      <c r="F41" s="441"/>
      <c r="G41" s="441"/>
      <c r="H41" s="441"/>
      <c r="I41" s="441"/>
      <c r="J41" s="441"/>
      <c r="K41" s="441"/>
      <c r="L41" s="441"/>
      <c r="M41" s="441"/>
      <c r="N41" s="621">
        <f t="shared" si="4"/>
        <v>0</v>
      </c>
      <c r="O41" s="567">
        <v>0</v>
      </c>
      <c r="P41" s="752">
        <f t="shared" si="5"/>
        <v>0</v>
      </c>
      <c r="Q41" s="444"/>
      <c r="R41" s="444"/>
      <c r="S41" s="444"/>
      <c r="T41" s="444"/>
      <c r="U41" s="444"/>
      <c r="V41" s="444"/>
      <c r="W41" s="444"/>
      <c r="X41" s="444"/>
      <c r="Y41" s="444"/>
      <c r="Z41" s="444"/>
      <c r="AA41" s="444"/>
      <c r="AB41" s="444"/>
      <c r="AC41" s="444"/>
      <c r="AD41" s="444"/>
    </row>
    <row r="42" spans="1:30" ht="15.75" thickBot="1">
      <c r="A42" s="735">
        <f>+A41+1</f>
        <v>24</v>
      </c>
      <c r="B42" s="748" t="s">
        <v>573</v>
      </c>
      <c r="C42" s="749" t="s">
        <v>408</v>
      </c>
      <c r="D42" s="750"/>
      <c r="E42" s="750"/>
      <c r="F42" s="750"/>
      <c r="G42" s="750"/>
      <c r="H42" s="750"/>
      <c r="I42" s="750"/>
      <c r="J42" s="750"/>
      <c r="K42" s="750"/>
      <c r="L42" s="750"/>
      <c r="M42" s="750"/>
      <c r="N42" s="750">
        <f>SUM(N30:N41)</f>
        <v>0</v>
      </c>
      <c r="O42" s="750">
        <f>SUM(O30:O41)</f>
        <v>0</v>
      </c>
      <c r="P42" s="751">
        <f>SUM(P30:P41)</f>
        <v>0</v>
      </c>
      <c r="Q42" s="444"/>
      <c r="R42" s="444"/>
      <c r="S42" s="444"/>
      <c r="T42" s="444"/>
      <c r="U42" s="444"/>
      <c r="V42" s="444"/>
      <c r="W42" s="444"/>
      <c r="X42" s="444"/>
      <c r="Y42" s="444"/>
      <c r="Z42" s="444"/>
      <c r="AA42" s="444"/>
      <c r="AB42" s="444"/>
      <c r="AC42" s="444"/>
      <c r="AD42" s="444"/>
    </row>
    <row r="43" spans="1:30">
      <c r="A43" s="444"/>
      <c r="B43" s="444"/>
      <c r="C43" s="444"/>
      <c r="D43" s="444"/>
      <c r="E43" s="444"/>
      <c r="F43" s="444"/>
      <c r="G43" s="444"/>
      <c r="H43" s="444"/>
      <c r="I43" s="444"/>
      <c r="J43" s="444"/>
      <c r="K43" s="444"/>
      <c r="L43" s="444"/>
      <c r="M43" s="444"/>
      <c r="N43" s="444"/>
      <c r="O43" s="444"/>
      <c r="P43" s="444"/>
      <c r="Q43" s="444"/>
      <c r="R43" s="444"/>
      <c r="S43" s="444"/>
      <c r="T43" s="444"/>
      <c r="U43" s="444"/>
      <c r="V43" s="444"/>
      <c r="W43" s="444"/>
      <c r="X43" s="444"/>
      <c r="Y43" s="444"/>
      <c r="Z43" s="444"/>
      <c r="AA43" s="444"/>
      <c r="AB43" s="444"/>
      <c r="AC43" s="444"/>
      <c r="AD43" s="444"/>
    </row>
    <row r="44" spans="1:30">
      <c r="A44" s="461" t="s">
        <v>575</v>
      </c>
      <c r="C44" s="446" t="s">
        <v>576</v>
      </c>
      <c r="E44" s="444"/>
      <c r="F44" s="444"/>
      <c r="G44" s="444"/>
      <c r="H44" s="444"/>
      <c r="I44" s="444"/>
      <c r="J44" s="444"/>
      <c r="K44" s="444"/>
      <c r="L44" s="444"/>
      <c r="M44" s="444"/>
      <c r="N44" s="444"/>
      <c r="O44" s="444"/>
      <c r="P44" s="444"/>
      <c r="Q44" s="444"/>
      <c r="R44" s="444"/>
      <c r="S44" s="444"/>
      <c r="T44" s="444"/>
      <c r="U44" s="444"/>
      <c r="V44" s="444"/>
      <c r="W44" s="444"/>
      <c r="X44" s="444"/>
      <c r="Y44" s="444"/>
      <c r="Z44" s="444"/>
      <c r="AA44" s="444"/>
      <c r="AB44" s="444"/>
      <c r="AC44" s="444"/>
      <c r="AD44" s="444"/>
    </row>
    <row r="45" spans="1:30">
      <c r="B45" s="444"/>
      <c r="C45" s="753" t="s">
        <v>577</v>
      </c>
      <c r="D45" s="444"/>
      <c r="E45" s="444"/>
      <c r="F45" s="444"/>
      <c r="G45" s="444"/>
      <c r="H45" s="444"/>
      <c r="I45" s="444"/>
      <c r="J45" s="444"/>
      <c r="K45" s="444"/>
      <c r="L45" s="444"/>
      <c r="M45" s="444"/>
      <c r="N45" s="444"/>
      <c r="O45" s="444"/>
      <c r="P45" s="444"/>
      <c r="Q45" s="444"/>
      <c r="R45" s="444"/>
      <c r="S45" s="444"/>
      <c r="T45" s="444"/>
      <c r="U45" s="444"/>
      <c r="V45" s="444"/>
      <c r="W45" s="444"/>
      <c r="X45" s="444"/>
      <c r="Y45" s="444"/>
      <c r="Z45" s="444"/>
      <c r="AA45" s="444"/>
      <c r="AB45" s="444"/>
      <c r="AC45" s="444"/>
      <c r="AD45" s="444"/>
    </row>
    <row r="46" spans="1:30">
      <c r="A46" s="443">
        <f>+A42+1</f>
        <v>25</v>
      </c>
      <c r="B46" s="925" t="str">
        <f>+B30</f>
        <v>May 2018</v>
      </c>
      <c r="C46" s="754">
        <v>0</v>
      </c>
      <c r="D46" s="444"/>
      <c r="E46" s="444"/>
      <c r="F46" s="444"/>
      <c r="G46" s="444"/>
      <c r="H46" s="444"/>
      <c r="I46" s="444"/>
      <c r="J46" s="444"/>
      <c r="K46" s="444"/>
      <c r="L46" s="444"/>
      <c r="M46" s="444"/>
      <c r="N46" s="444"/>
      <c r="O46" s="444"/>
      <c r="P46" s="444"/>
      <c r="Q46" s="444"/>
      <c r="R46" s="444"/>
      <c r="S46" s="444"/>
      <c r="T46" s="444"/>
      <c r="U46" s="444"/>
      <c r="V46" s="444"/>
      <c r="W46" s="444"/>
      <c r="X46" s="444"/>
      <c r="Y46" s="444"/>
      <c r="Z46" s="444"/>
      <c r="AA46" s="444"/>
      <c r="AB46" s="444"/>
      <c r="AC46" s="444"/>
      <c r="AD46" s="444"/>
    </row>
    <row r="47" spans="1:30">
      <c r="A47" s="443">
        <f>+A46+1</f>
        <v>26</v>
      </c>
      <c r="B47" s="736" t="s">
        <v>199</v>
      </c>
      <c r="C47" s="754">
        <v>0</v>
      </c>
      <c r="D47" s="444"/>
      <c r="E47" s="444"/>
      <c r="F47" s="444"/>
      <c r="G47" s="444"/>
      <c r="H47" s="444"/>
      <c r="I47" s="444"/>
      <c r="J47" s="444"/>
      <c r="K47" s="444"/>
      <c r="L47" s="444"/>
      <c r="M47" s="444"/>
      <c r="N47" s="444"/>
      <c r="O47" s="444"/>
      <c r="P47" s="444"/>
      <c r="Q47" s="444"/>
      <c r="R47" s="444"/>
      <c r="S47" s="444"/>
      <c r="T47" s="444"/>
      <c r="U47" s="444"/>
      <c r="V47" s="444"/>
      <c r="W47" s="444"/>
      <c r="X47" s="444"/>
      <c r="Y47" s="444"/>
      <c r="Z47" s="444"/>
      <c r="AA47" s="444"/>
      <c r="AB47" s="444"/>
      <c r="AC47" s="444"/>
      <c r="AD47" s="444"/>
    </row>
    <row r="48" spans="1:30">
      <c r="A48" s="443">
        <f t="shared" ref="A48:A59" si="7">+A47+1</f>
        <v>27</v>
      </c>
      <c r="B48" s="736" t="s">
        <v>138</v>
      </c>
      <c r="C48" s="754">
        <v>0</v>
      </c>
      <c r="D48" s="444"/>
      <c r="E48" s="444"/>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row>
    <row r="49" spans="1:30">
      <c r="A49" s="443">
        <f t="shared" si="7"/>
        <v>28</v>
      </c>
      <c r="B49" s="736" t="s">
        <v>137</v>
      </c>
      <c r="C49" s="754">
        <v>0</v>
      </c>
      <c r="D49" s="444"/>
      <c r="E49" s="444"/>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row>
    <row r="50" spans="1:30">
      <c r="A50" s="443">
        <f t="shared" si="7"/>
        <v>29</v>
      </c>
      <c r="B50" s="736" t="s">
        <v>136</v>
      </c>
      <c r="C50" s="754">
        <v>0</v>
      </c>
      <c r="D50" s="444"/>
      <c r="E50" s="444"/>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row>
    <row r="51" spans="1:30">
      <c r="A51" s="443">
        <f t="shared" si="7"/>
        <v>30</v>
      </c>
      <c r="B51" s="736" t="s">
        <v>148</v>
      </c>
      <c r="C51" s="754">
        <v>0</v>
      </c>
      <c r="D51" s="444"/>
      <c r="E51" s="444"/>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row>
    <row r="52" spans="1:30">
      <c r="A52" s="443">
        <f t="shared" si="7"/>
        <v>31</v>
      </c>
      <c r="B52" s="736" t="s">
        <v>134</v>
      </c>
      <c r="C52" s="754">
        <v>0</v>
      </c>
      <c r="D52" s="444"/>
      <c r="E52" s="444"/>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row>
    <row r="53" spans="1:30">
      <c r="A53" s="443">
        <f t="shared" si="7"/>
        <v>32</v>
      </c>
      <c r="B53" s="736" t="s">
        <v>132</v>
      </c>
      <c r="C53" s="754">
        <v>0</v>
      </c>
      <c r="D53" s="444"/>
      <c r="E53" s="444"/>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row>
    <row r="54" spans="1:30">
      <c r="A54" s="443">
        <f t="shared" si="7"/>
        <v>33</v>
      </c>
      <c r="B54" s="926" t="str">
        <f>+B38</f>
        <v>January 2019</v>
      </c>
      <c r="C54" s="754">
        <v>0</v>
      </c>
      <c r="D54" s="444"/>
      <c r="E54" s="444"/>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row>
    <row r="55" spans="1:30">
      <c r="A55" s="443">
        <f t="shared" si="7"/>
        <v>34</v>
      </c>
      <c r="B55" s="736" t="s">
        <v>141</v>
      </c>
      <c r="C55" s="754">
        <v>0</v>
      </c>
      <c r="D55" s="444"/>
      <c r="E55" s="444"/>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row>
    <row r="56" spans="1:30">
      <c r="A56" s="443">
        <f t="shared" si="7"/>
        <v>35</v>
      </c>
      <c r="B56" s="736" t="s">
        <v>438</v>
      </c>
      <c r="C56" s="754">
        <v>0</v>
      </c>
      <c r="D56" s="444"/>
      <c r="E56" s="444"/>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row>
    <row r="57" spans="1:30" ht="25.5">
      <c r="A57" s="443">
        <f t="shared" si="7"/>
        <v>36</v>
      </c>
      <c r="B57" s="736" t="s">
        <v>124</v>
      </c>
      <c r="C57" s="754">
        <v>0</v>
      </c>
      <c r="D57" s="757" t="s">
        <v>579</v>
      </c>
      <c r="E57" s="757" t="s">
        <v>580</v>
      </c>
      <c r="F57" s="444"/>
      <c r="G57" s="444"/>
      <c r="H57" s="444"/>
      <c r="I57" s="444"/>
      <c r="J57" s="444"/>
      <c r="K57" s="444"/>
      <c r="L57" s="444"/>
      <c r="M57" s="444"/>
    </row>
    <row r="58" spans="1:30">
      <c r="A58" s="443">
        <f t="shared" si="7"/>
        <v>37</v>
      </c>
      <c r="B58" s="736" t="s">
        <v>578</v>
      </c>
      <c r="C58" s="754">
        <v>0</v>
      </c>
      <c r="D58" s="444">
        <f>C58-C46</f>
        <v>0</v>
      </c>
      <c r="E58" s="755">
        <f>IF(P42=0,0,D58/P42)</f>
        <v>0</v>
      </c>
      <c r="F58" s="444"/>
      <c r="G58" s="444"/>
      <c r="H58" s="446"/>
      <c r="I58" s="446"/>
      <c r="J58" s="446"/>
      <c r="K58" s="446"/>
      <c r="L58" s="446"/>
      <c r="M58" s="446"/>
      <c r="N58" s="444"/>
    </row>
    <row r="59" spans="1:30">
      <c r="A59" s="443">
        <f t="shared" si="7"/>
        <v>38</v>
      </c>
      <c r="B59" s="756" t="s">
        <v>573</v>
      </c>
      <c r="C59" s="443">
        <f>+AVERAGE(C46:C58)</f>
        <v>0</v>
      </c>
      <c r="D59" s="444"/>
      <c r="E59" s="444"/>
      <c r="F59" s="444"/>
      <c r="G59" s="444"/>
      <c r="H59" s="446"/>
      <c r="I59" s="446"/>
      <c r="J59" s="446"/>
      <c r="K59" s="446"/>
      <c r="L59" s="446"/>
      <c r="M59" s="446"/>
      <c r="N59" s="444"/>
    </row>
    <row r="60" spans="1:30">
      <c r="A60" s="464"/>
      <c r="B60" s="446"/>
      <c r="C60" s="446"/>
      <c r="D60" s="446"/>
      <c r="E60" s="446"/>
      <c r="F60" s="446"/>
      <c r="G60" s="446"/>
      <c r="H60" s="446"/>
      <c r="I60" s="446"/>
      <c r="J60" s="446"/>
      <c r="K60" s="446"/>
      <c r="L60" s="446"/>
      <c r="M60" s="446"/>
      <c r="N60" s="444"/>
    </row>
  </sheetData>
  <mergeCells count="10">
    <mergeCell ref="A1:R1"/>
    <mergeCell ref="A2:R2"/>
    <mergeCell ref="A3:R3"/>
    <mergeCell ref="F5:R5"/>
    <mergeCell ref="F6:R6"/>
    <mergeCell ref="A9:A10"/>
    <mergeCell ref="B9:B10"/>
    <mergeCell ref="C9:C10"/>
    <mergeCell ref="D9:D10"/>
    <mergeCell ref="R9:R10"/>
  </mergeCells>
  <pageMargins left="0.7" right="0.7" top="0.75" bottom="0.75" header="0.3" footer="0.3"/>
  <pageSetup scale="39" fitToHeight="2" orientation="landscape" r:id="rId1"/>
  <headerFooter>
    <oddHeader>&amp;RCompliance Filing Attachment 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DE31A3-77AB-4606-B4F1-8517025FAD26}">
  <sheetPr>
    <tabColor rgb="FF92D050"/>
    <pageSetUpPr fitToPage="1"/>
  </sheetPr>
  <dimension ref="A1:IV523"/>
  <sheetViews>
    <sheetView zoomScale="75" zoomScaleNormal="75" zoomScaleSheetLayoutView="70" zoomScalePageLayoutView="70" workbookViewId="0"/>
  </sheetViews>
  <sheetFormatPr defaultColWidth="8.6640625" defaultRowHeight="15"/>
  <cols>
    <col min="1" max="1" width="6" style="1" customWidth="1"/>
    <col min="2" max="2" width="1.44140625" style="1" customWidth="1"/>
    <col min="3" max="3" width="41.109375" style="1" customWidth="1"/>
    <col min="4" max="4" width="32.109375" style="1" customWidth="1"/>
    <col min="5" max="5" width="21.21875" style="1" customWidth="1"/>
    <col min="6" max="6" width="28" style="1" customWidth="1"/>
    <col min="7" max="7" width="7.88671875" style="1" customWidth="1"/>
    <col min="8" max="8" width="15.21875" style="1" bestFit="1" customWidth="1"/>
    <col min="9" max="9" width="7.21875" style="1" customWidth="1"/>
    <col min="10" max="10" width="15.6640625" style="1" customWidth="1"/>
    <col min="11" max="11" width="15.109375" style="1" customWidth="1"/>
    <col min="12" max="12" width="10.21875" style="1" customWidth="1"/>
    <col min="13" max="13" width="14.44140625" style="1" customWidth="1"/>
    <col min="14" max="14" width="15.5546875" style="1" customWidth="1"/>
    <col min="15" max="16384" width="8.6640625" style="1"/>
  </cols>
  <sheetData>
    <row r="1" spans="1:13">
      <c r="C1" s="2"/>
      <c r="D1" s="2"/>
      <c r="E1" s="3"/>
      <c r="F1" s="2"/>
      <c r="G1" s="2"/>
      <c r="H1" s="2"/>
      <c r="I1" s="2"/>
      <c r="J1" s="5"/>
      <c r="K1" s="5"/>
      <c r="L1" s="5"/>
      <c r="M1" s="5"/>
    </row>
    <row r="2" spans="1:13">
      <c r="C2" s="2"/>
      <c r="D2" s="2"/>
      <c r="E2" s="3"/>
      <c r="F2" s="2"/>
      <c r="G2" s="2"/>
      <c r="H2" s="2"/>
      <c r="I2" s="2"/>
      <c r="K2" s="5"/>
      <c r="L2" s="5"/>
      <c r="M2" s="5" t="s">
        <v>279</v>
      </c>
    </row>
    <row r="3" spans="1:13">
      <c r="C3" s="2"/>
      <c r="D3" s="2"/>
      <c r="E3" s="3"/>
      <c r="F3" s="2"/>
      <c r="G3" s="2"/>
      <c r="H3" s="2"/>
      <c r="I3" s="2"/>
      <c r="J3" s="5"/>
      <c r="K3" s="50"/>
      <c r="L3" s="6"/>
      <c r="M3" s="6" t="s">
        <v>280</v>
      </c>
    </row>
    <row r="4" spans="1:13">
      <c r="C4" s="2"/>
      <c r="D4" s="2"/>
      <c r="E4" s="3"/>
      <c r="F4" s="2"/>
      <c r="G4" s="2"/>
      <c r="H4" s="2"/>
      <c r="I4" s="2"/>
      <c r="J4" s="5"/>
      <c r="K4" s="6"/>
      <c r="L4" s="937"/>
      <c r="M4" s="937"/>
    </row>
    <row r="5" spans="1:13">
      <c r="C5" s="2"/>
      <c r="D5" s="943" t="s">
        <v>604</v>
      </c>
      <c r="E5" s="943"/>
      <c r="F5" s="943"/>
      <c r="G5" s="2"/>
      <c r="H5" s="2"/>
      <c r="I5" s="2"/>
      <c r="J5" s="2"/>
      <c r="K5" s="7"/>
      <c r="L5" s="7"/>
    </row>
    <row r="6" spans="1:13">
      <c r="C6" s="2" t="s">
        <v>21</v>
      </c>
      <c r="D6" s="69"/>
      <c r="E6" s="69" t="s">
        <v>107</v>
      </c>
      <c r="F6" s="2"/>
      <c r="G6" s="2"/>
      <c r="H6" s="2"/>
      <c r="I6" s="2"/>
    </row>
    <row r="7" spans="1:13">
      <c r="C7" s="2"/>
      <c r="D7" s="8" t="s">
        <v>22</v>
      </c>
      <c r="E7" s="8" t="s">
        <v>23</v>
      </c>
      <c r="F7" s="8"/>
      <c r="G7" s="8"/>
      <c r="H7" s="8"/>
      <c r="I7" s="2"/>
      <c r="J7" s="391"/>
      <c r="K7" s="392"/>
      <c r="L7" s="389"/>
      <c r="M7" s="390" t="s">
        <v>278</v>
      </c>
    </row>
    <row r="8" spans="1:13">
      <c r="C8" s="7"/>
      <c r="D8" s="7"/>
      <c r="E8" s="7"/>
      <c r="F8" s="7"/>
      <c r="G8" s="7"/>
      <c r="H8" s="7"/>
      <c r="I8" s="7"/>
      <c r="J8" s="7"/>
      <c r="K8" s="236"/>
      <c r="L8" s="182"/>
      <c r="M8" s="180" t="s">
        <v>454</v>
      </c>
    </row>
    <row r="9" spans="1:13" ht="15.75">
      <c r="A9" s="9"/>
      <c r="C9" s="7"/>
      <c r="D9" s="944" t="s">
        <v>590</v>
      </c>
      <c r="E9" s="944"/>
      <c r="F9" s="944"/>
      <c r="G9" s="7"/>
      <c r="H9" s="7"/>
      <c r="I9" s="7"/>
      <c r="J9" s="7"/>
      <c r="L9" s="7"/>
      <c r="M9" s="6"/>
    </row>
    <row r="10" spans="1:13">
      <c r="A10" s="9"/>
      <c r="C10" s="7"/>
      <c r="D10" s="7"/>
      <c r="E10" s="11"/>
      <c r="F10" s="7"/>
      <c r="G10" s="7"/>
      <c r="H10" s="7"/>
      <c r="I10" s="7"/>
      <c r="J10" s="7"/>
      <c r="K10" s="7"/>
      <c r="L10" s="7"/>
    </row>
    <row r="11" spans="1:13">
      <c r="A11" s="9"/>
      <c r="C11" s="7"/>
      <c r="D11" s="7"/>
      <c r="E11" s="10" t="s">
        <v>24</v>
      </c>
      <c r="F11" s="7"/>
      <c r="G11" s="7"/>
      <c r="H11" s="10" t="s">
        <v>25</v>
      </c>
      <c r="I11" s="7"/>
      <c r="J11" s="10" t="s">
        <v>26</v>
      </c>
      <c r="K11" s="7"/>
      <c r="L11" s="10"/>
      <c r="M11" s="10"/>
    </row>
    <row r="12" spans="1:13">
      <c r="A12" s="9"/>
      <c r="C12" s="7"/>
      <c r="D12" s="7"/>
      <c r="M12" s="4"/>
    </row>
    <row r="13" spans="1:13">
      <c r="A13" s="9" t="s">
        <v>29</v>
      </c>
      <c r="C13" s="7"/>
      <c r="D13" s="7"/>
      <c r="E13" s="11"/>
      <c r="F13" s="7"/>
      <c r="G13" s="7"/>
      <c r="H13" s="7"/>
      <c r="I13" s="7"/>
      <c r="J13" s="4" t="s">
        <v>30</v>
      </c>
      <c r="K13" s="7"/>
      <c r="L13" s="7"/>
      <c r="M13" s="4"/>
    </row>
    <row r="14" spans="1:13" ht="15.75" thickBot="1">
      <c r="A14" s="12" t="s">
        <v>31</v>
      </c>
      <c r="C14" s="7"/>
      <c r="D14" s="7"/>
      <c r="E14" s="7"/>
      <c r="F14" s="7"/>
      <c r="G14" s="7"/>
      <c r="H14" s="7"/>
      <c r="I14" s="7"/>
      <c r="J14" s="13" t="s">
        <v>32</v>
      </c>
      <c r="K14" s="7"/>
      <c r="L14" s="4"/>
      <c r="M14" s="4"/>
    </row>
    <row r="15" spans="1:13">
      <c r="A15" s="9">
        <v>1</v>
      </c>
      <c r="C15" s="7" t="s">
        <v>186</v>
      </c>
      <c r="D15" s="7" t="str">
        <f>"Line "&amp;A178&amp;""</f>
        <v>Line 60</v>
      </c>
      <c r="E15" s="8"/>
      <c r="F15" s="7"/>
      <c r="G15" s="7"/>
      <c r="H15" s="7" t="s">
        <v>33</v>
      </c>
      <c r="I15" s="7"/>
      <c r="J15" s="80">
        <f>+J178</f>
        <v>0</v>
      </c>
      <c r="K15" s="80"/>
      <c r="L15" s="80"/>
      <c r="M15" s="80"/>
    </row>
    <row r="16" spans="1:13">
      <c r="A16" s="9"/>
      <c r="C16" s="7"/>
      <c r="D16" s="7"/>
      <c r="E16" s="7"/>
      <c r="F16" s="7"/>
      <c r="G16" s="7"/>
      <c r="H16" s="7"/>
      <c r="I16" s="7"/>
      <c r="J16" s="102"/>
      <c r="K16" s="7"/>
      <c r="L16" s="7"/>
    </row>
    <row r="17" spans="1:14" ht="15.75" thickBot="1">
      <c r="A17" s="9" t="s">
        <v>22</v>
      </c>
      <c r="C17" s="7" t="s">
        <v>34</v>
      </c>
      <c r="D17" s="8"/>
      <c r="E17" s="13" t="s">
        <v>35</v>
      </c>
      <c r="F17" s="8"/>
      <c r="G17" s="14" t="s">
        <v>36</v>
      </c>
      <c r="H17" s="14"/>
      <c r="I17" s="7"/>
      <c r="J17" s="102"/>
      <c r="K17" s="7"/>
      <c r="L17" s="7"/>
    </row>
    <row r="18" spans="1:14">
      <c r="A18" s="9">
        <f>+A15+1</f>
        <v>2</v>
      </c>
      <c r="C18" s="7" t="str">
        <f>+'1 - Revenue Credits'!B15</f>
        <v>Total Revenue Credits</v>
      </c>
      <c r="D18" s="8" t="str">
        <f>"Attachment 1, Line "&amp;'1 - Revenue Credits'!A15&amp;""</f>
        <v>Attachment 1, Line 6</v>
      </c>
      <c r="E18" s="369">
        <f>+'1 - Revenue Credits'!D15</f>
        <v>0</v>
      </c>
      <c r="F18" s="8"/>
      <c r="G18" s="8" t="str">
        <f>+G79</f>
        <v>TP</v>
      </c>
      <c r="H18" s="595">
        <f>+J208</f>
        <v>1</v>
      </c>
      <c r="I18" s="8"/>
      <c r="J18" s="232">
        <f>+H18*E18</f>
        <v>0</v>
      </c>
      <c r="K18" s="7"/>
      <c r="L18" s="78"/>
      <c r="M18" s="73"/>
      <c r="N18" s="16"/>
    </row>
    <row r="19" spans="1:14">
      <c r="A19" s="9"/>
      <c r="C19" s="7"/>
      <c r="D19" s="8"/>
      <c r="E19" s="369"/>
      <c r="F19" s="8"/>
      <c r="G19" s="8"/>
      <c r="H19" s="596"/>
      <c r="I19" s="8"/>
      <c r="J19" s="103"/>
      <c r="K19" s="7"/>
      <c r="L19" s="78"/>
      <c r="M19" s="73"/>
      <c r="N19" s="16"/>
    </row>
    <row r="20" spans="1:14">
      <c r="A20" s="9">
        <v>3</v>
      </c>
      <c r="C20" s="7" t="s">
        <v>301</v>
      </c>
      <c r="D20" s="7" t="str">
        <f>"Line "&amp;A15&amp;" - Line "&amp;A18&amp;""</f>
        <v>Line 1 - Line 2</v>
      </c>
      <c r="E20" s="369"/>
      <c r="F20" s="8"/>
      <c r="G20" s="8"/>
      <c r="H20" s="596"/>
      <c r="I20" s="8"/>
      <c r="J20" s="103">
        <f>+J15-J18</f>
        <v>0</v>
      </c>
      <c r="K20" s="7"/>
      <c r="L20" s="78"/>
      <c r="M20" s="73"/>
      <c r="N20" s="16"/>
    </row>
    <row r="21" spans="1:14">
      <c r="A21" s="9"/>
      <c r="C21" s="7"/>
      <c r="D21" s="8"/>
      <c r="E21" s="369"/>
      <c r="F21" s="8"/>
      <c r="G21" s="8"/>
      <c r="H21" s="596"/>
      <c r="I21" s="8"/>
      <c r="J21" s="103"/>
      <c r="K21" s="7"/>
      <c r="L21" s="78"/>
      <c r="M21" s="73"/>
      <c r="N21" s="16"/>
    </row>
    <row r="22" spans="1:14" ht="30">
      <c r="A22" s="9">
        <v>4</v>
      </c>
      <c r="C22" s="600" t="s">
        <v>597</v>
      </c>
      <c r="D22" s="19" t="s">
        <v>216</v>
      </c>
      <c r="E22" s="391">
        <f>'7 - True-Up'!I53</f>
        <v>0</v>
      </c>
      <c r="F22" s="7"/>
      <c r="G22" s="7" t="s">
        <v>127</v>
      </c>
      <c r="H22" s="597">
        <v>1</v>
      </c>
      <c r="I22" s="7"/>
      <c r="J22" s="233">
        <f>+H22*E22</f>
        <v>0</v>
      </c>
      <c r="K22" s="7"/>
    </row>
    <row r="23" spans="1:14">
      <c r="A23" s="9"/>
      <c r="C23" s="7"/>
      <c r="D23" s="7"/>
      <c r="E23" s="7"/>
      <c r="F23" s="7"/>
      <c r="G23" s="7"/>
      <c r="H23" s="7"/>
      <c r="I23" s="7"/>
      <c r="J23" s="8"/>
      <c r="K23" s="7"/>
      <c r="L23" s="7"/>
    </row>
    <row r="24" spans="1:14">
      <c r="A24" s="9">
        <v>5</v>
      </c>
      <c r="C24" s="7" t="s">
        <v>302</v>
      </c>
      <c r="D24" s="7" t="str">
        <f>"Line "&amp;A20&amp;" + Line "&amp;A22&amp;""</f>
        <v>Line 3 + Line 4</v>
      </c>
      <c r="F24" s="8"/>
      <c r="G24" s="8"/>
      <c r="H24" s="8"/>
      <c r="I24" s="8"/>
      <c r="J24" s="103">
        <f>+J20+J22</f>
        <v>0</v>
      </c>
      <c r="K24" s="7"/>
      <c r="M24" s="81"/>
    </row>
    <row r="25" spans="1:14">
      <c r="A25" s="9"/>
      <c r="D25" s="7"/>
      <c r="E25" s="18"/>
      <c r="F25" s="8"/>
      <c r="G25" s="8"/>
      <c r="H25" s="8"/>
      <c r="I25" s="8"/>
      <c r="K25" s="7"/>
      <c r="L25" s="7"/>
    </row>
    <row r="26" spans="1:14">
      <c r="A26" s="9"/>
      <c r="D26" s="8"/>
      <c r="E26" s="7"/>
      <c r="F26" s="7"/>
      <c r="G26" s="7"/>
      <c r="H26" s="7"/>
      <c r="I26" s="7"/>
      <c r="J26" s="8"/>
      <c r="K26" s="7"/>
      <c r="L26" s="7"/>
    </row>
    <row r="27" spans="1:14">
      <c r="A27" s="9"/>
      <c r="C27" s="7"/>
      <c r="D27" s="7"/>
      <c r="E27" s="8"/>
      <c r="F27" s="7"/>
      <c r="G27" s="7"/>
      <c r="H27" s="7"/>
      <c r="I27" s="7"/>
      <c r="J27" s="8"/>
      <c r="K27" s="7"/>
      <c r="L27" s="7"/>
    </row>
    <row r="28" spans="1:14">
      <c r="A28" s="9"/>
      <c r="C28" s="7"/>
      <c r="D28" s="7"/>
      <c r="E28" s="8"/>
      <c r="F28" s="7"/>
      <c r="G28" s="7"/>
      <c r="H28" s="7"/>
      <c r="I28" s="7"/>
      <c r="J28" s="8"/>
      <c r="K28" s="7"/>
      <c r="L28" s="7"/>
    </row>
    <row r="29" spans="1:14">
      <c r="A29" s="9"/>
      <c r="C29" s="24"/>
      <c r="D29" s="24"/>
      <c r="E29" s="24"/>
      <c r="F29" s="51"/>
      <c r="G29" s="51"/>
      <c r="H29" s="26"/>
      <c r="I29" s="51"/>
      <c r="K29" s="7"/>
      <c r="L29" s="7"/>
      <c r="M29" s="23"/>
      <c r="N29" s="71"/>
    </row>
    <row r="30" spans="1:14">
      <c r="A30" s="9"/>
      <c r="C30" s="7"/>
      <c r="D30" s="353"/>
      <c r="E30" s="51"/>
      <c r="F30" s="51"/>
      <c r="G30" s="51"/>
      <c r="H30" s="353"/>
      <c r="I30" s="51"/>
      <c r="J30" s="582"/>
      <c r="K30" s="7"/>
      <c r="L30" s="7"/>
      <c r="M30" s="23"/>
    </row>
    <row r="31" spans="1:14">
      <c r="A31" s="9"/>
      <c r="C31" s="8"/>
      <c r="D31" s="7"/>
      <c r="E31" s="387"/>
      <c r="F31" s="24"/>
      <c r="G31" s="29"/>
      <c r="H31" s="8"/>
      <c r="I31" s="7"/>
      <c r="K31" s="7"/>
      <c r="L31" s="7"/>
      <c r="M31" s="23"/>
    </row>
    <row r="32" spans="1:14">
      <c r="A32" s="9"/>
      <c r="C32" s="8"/>
      <c r="D32" s="7"/>
      <c r="E32" s="85"/>
      <c r="F32" s="7"/>
      <c r="H32" s="8"/>
      <c r="I32" s="7"/>
      <c r="J32" s="582"/>
      <c r="K32" s="7"/>
      <c r="L32" s="7"/>
      <c r="M32" s="23"/>
    </row>
    <row r="33" spans="1:14">
      <c r="A33" s="9"/>
      <c r="B33" s="85"/>
      <c r="C33" s="85"/>
      <c r="D33" s="388"/>
      <c r="E33" s="380"/>
      <c r="F33" s="7"/>
      <c r="H33" s="88"/>
      <c r="I33" s="7"/>
      <c r="K33" s="88"/>
      <c r="L33" s="7"/>
      <c r="M33" s="23"/>
    </row>
    <row r="34" spans="1:14">
      <c r="A34" s="9"/>
      <c r="C34" s="8"/>
      <c r="D34" s="388"/>
      <c r="E34" s="380"/>
      <c r="F34" s="7"/>
      <c r="G34" s="7"/>
      <c r="H34" s="88"/>
      <c r="I34" s="7"/>
      <c r="K34" s="8"/>
      <c r="L34" s="72"/>
      <c r="M34" s="73"/>
      <c r="N34" s="16"/>
    </row>
    <row r="35" spans="1:14">
      <c r="A35" s="9"/>
      <c r="C35" s="8"/>
      <c r="D35" s="388"/>
      <c r="E35" s="380"/>
      <c r="F35" s="7"/>
      <c r="G35" s="7"/>
      <c r="H35" s="88"/>
      <c r="I35" s="7"/>
      <c r="K35" s="7"/>
      <c r="L35" s="72"/>
      <c r="M35" s="73"/>
      <c r="N35" s="16"/>
    </row>
    <row r="36" spans="1:14">
      <c r="A36" s="9"/>
      <c r="C36" s="7"/>
      <c r="D36" s="388"/>
      <c r="E36" s="381"/>
      <c r="F36" s="7"/>
      <c r="G36" s="7"/>
      <c r="H36" s="88"/>
      <c r="I36" s="7"/>
      <c r="K36" s="7"/>
      <c r="L36" s="7"/>
      <c r="M36" s="23"/>
    </row>
    <row r="37" spans="1:14">
      <c r="A37" s="9"/>
      <c r="C37" s="8"/>
      <c r="D37" s="80"/>
      <c r="E37" s="80"/>
      <c r="F37" s="7"/>
      <c r="G37" s="7"/>
      <c r="H37" s="90"/>
      <c r="I37" s="7"/>
      <c r="J37" s="8"/>
      <c r="K37" s="7"/>
      <c r="L37" s="8"/>
      <c r="M37" s="8"/>
    </row>
    <row r="38" spans="1:14">
      <c r="A38" s="9"/>
      <c r="C38" s="2"/>
      <c r="D38" s="80"/>
      <c r="E38" s="80"/>
      <c r="F38" s="7"/>
      <c r="G38" s="7"/>
      <c r="H38" s="80"/>
      <c r="I38" s="7"/>
      <c r="J38" s="8"/>
      <c r="K38" s="7"/>
      <c r="L38" s="8"/>
      <c r="M38" s="8"/>
    </row>
    <row r="39" spans="1:14">
      <c r="A39" s="9"/>
      <c r="C39" s="7"/>
      <c r="D39" s="7"/>
      <c r="E39" s="7"/>
      <c r="F39" s="7"/>
      <c r="G39" s="7"/>
      <c r="H39" s="7"/>
      <c r="I39" s="7"/>
      <c r="J39" s="8"/>
      <c r="K39" s="7"/>
      <c r="L39" s="7"/>
    </row>
    <row r="40" spans="1:14">
      <c r="A40" s="9"/>
      <c r="C40" s="7"/>
      <c r="D40" s="80"/>
      <c r="E40" s="89"/>
      <c r="F40" s="7"/>
      <c r="G40" s="7"/>
      <c r="H40" s="89"/>
      <c r="I40" s="7"/>
      <c r="J40" s="74"/>
      <c r="K40" s="7"/>
      <c r="L40" s="7"/>
      <c r="M40" s="74"/>
    </row>
    <row r="41" spans="1:14">
      <c r="A41" s="9"/>
      <c r="C41" s="7"/>
      <c r="D41" s="7"/>
      <c r="F41" s="7"/>
      <c r="G41" s="7"/>
      <c r="H41" s="7"/>
      <c r="I41" s="7"/>
      <c r="J41" s="74"/>
      <c r="K41" s="7"/>
      <c r="L41" s="7"/>
      <c r="M41" s="74"/>
    </row>
    <row r="42" spans="1:14">
      <c r="A42" s="9"/>
      <c r="C42" s="7"/>
      <c r="D42" s="7"/>
      <c r="E42" s="74"/>
      <c r="F42" s="7"/>
      <c r="G42" s="7"/>
      <c r="H42" s="7"/>
      <c r="I42" s="7"/>
      <c r="J42" s="7"/>
      <c r="K42" s="7"/>
      <c r="L42" s="7"/>
    </row>
    <row r="43" spans="1:14">
      <c r="A43" s="9"/>
      <c r="C43" s="7"/>
      <c r="D43" s="7"/>
      <c r="E43" s="75"/>
      <c r="F43" s="7"/>
      <c r="G43" s="7"/>
      <c r="H43" s="7"/>
      <c r="I43" s="7"/>
      <c r="J43" s="24"/>
      <c r="K43" s="7"/>
      <c r="L43" s="7"/>
    </row>
    <row r="44" spans="1:14">
      <c r="A44" s="9"/>
      <c r="C44" s="7"/>
      <c r="D44" s="7"/>
      <c r="E44" s="74"/>
      <c r="F44" s="7"/>
      <c r="G44" s="7"/>
      <c r="H44" s="7"/>
      <c r="I44" s="7"/>
      <c r="J44" s="7"/>
      <c r="K44" s="7"/>
      <c r="L44" s="7"/>
    </row>
    <row r="45" spans="1:14">
      <c r="A45" s="9"/>
      <c r="C45" s="7"/>
      <c r="E45" s="19"/>
      <c r="F45" s="19"/>
      <c r="J45" s="94"/>
      <c r="K45" s="7"/>
      <c r="L45" s="7"/>
    </row>
    <row r="46" spans="1:14">
      <c r="A46" s="9"/>
      <c r="C46" s="8"/>
      <c r="E46" s="19"/>
      <c r="F46" s="19"/>
      <c r="J46" s="94"/>
      <c r="K46" s="7"/>
      <c r="L46" s="7"/>
    </row>
    <row r="47" spans="1:14">
      <c r="A47" s="9"/>
      <c r="C47" s="7"/>
      <c r="D47" s="19"/>
      <c r="E47" s="95"/>
      <c r="G47" s="74"/>
      <c r="H47" s="74"/>
      <c r="I47" s="7"/>
      <c r="J47" s="94"/>
      <c r="K47" s="7"/>
      <c r="L47" s="7"/>
    </row>
    <row r="48" spans="1:14">
      <c r="A48" s="9"/>
      <c r="C48" s="8"/>
      <c r="D48" s="7"/>
      <c r="E48" s="95"/>
      <c r="F48" s="7"/>
      <c r="G48" s="7"/>
      <c r="H48" s="7"/>
      <c r="I48" s="7"/>
      <c r="J48" s="7"/>
      <c r="K48" s="7"/>
      <c r="L48" s="7"/>
    </row>
    <row r="49" spans="1:13">
      <c r="A49" s="9"/>
      <c r="C49" s="8"/>
      <c r="D49" s="7"/>
      <c r="E49" s="96"/>
      <c r="F49" s="7"/>
      <c r="G49" s="7"/>
      <c r="H49" s="7"/>
      <c r="I49" s="7"/>
      <c r="J49" s="7"/>
      <c r="K49" s="7"/>
      <c r="L49" s="7"/>
    </row>
    <row r="50" spans="1:13">
      <c r="A50" s="9"/>
      <c r="C50" s="8"/>
      <c r="D50" s="7"/>
      <c r="E50" s="97"/>
      <c r="F50" s="98"/>
      <c r="G50" s="98"/>
      <c r="H50" s="98"/>
      <c r="I50" s="98"/>
      <c r="J50" s="98"/>
      <c r="K50" s="98"/>
      <c r="L50" s="7"/>
    </row>
    <row r="51" spans="1:13">
      <c r="A51" s="9"/>
      <c r="C51" s="8"/>
      <c r="D51" s="7"/>
      <c r="E51" s="99"/>
      <c r="F51" s="98"/>
      <c r="G51" s="98"/>
      <c r="H51" s="98"/>
      <c r="I51" s="98"/>
      <c r="J51" s="98"/>
      <c r="K51" s="98"/>
      <c r="L51" s="7"/>
    </row>
    <row r="52" spans="1:13">
      <c r="C52" s="23"/>
      <c r="E52" s="100"/>
      <c r="F52" s="101"/>
      <c r="I52" s="101"/>
      <c r="K52" s="2"/>
      <c r="L52" s="7"/>
    </row>
    <row r="53" spans="1:13">
      <c r="C53" s="8"/>
      <c r="D53" s="7"/>
      <c r="E53" s="99"/>
      <c r="F53" s="98"/>
      <c r="G53" s="98"/>
      <c r="H53" s="98"/>
      <c r="I53" s="98"/>
      <c r="K53" s="2"/>
      <c r="L53" s="7"/>
    </row>
    <row r="54" spans="1:13">
      <c r="C54" s="23"/>
      <c r="E54" s="100"/>
      <c r="F54" s="101"/>
      <c r="I54" s="101"/>
      <c r="K54" s="2"/>
      <c r="L54" s="7"/>
    </row>
    <row r="55" spans="1:13">
      <c r="C55" s="19"/>
      <c r="F55" s="101"/>
      <c r="K55" s="2"/>
      <c r="L55" s="7"/>
    </row>
    <row r="56" spans="1:13">
      <c r="C56" s="8"/>
      <c r="D56" s="7"/>
      <c r="E56" s="99"/>
      <c r="F56" s="98"/>
      <c r="G56" s="98"/>
      <c r="H56" s="98"/>
      <c r="I56" s="98"/>
      <c r="K56" s="2"/>
      <c r="L56" s="7"/>
    </row>
    <row r="57" spans="1:13">
      <c r="C57" s="23"/>
      <c r="E57" s="100"/>
      <c r="F57" s="101"/>
      <c r="I57" s="101"/>
      <c r="K57" s="2"/>
      <c r="L57" s="7"/>
    </row>
    <row r="58" spans="1:13">
      <c r="C58" s="7"/>
      <c r="D58" s="85"/>
      <c r="K58" s="2"/>
      <c r="L58" s="7"/>
    </row>
    <row r="59" spans="1:13">
      <c r="C59" s="20"/>
      <c r="K59" s="2"/>
      <c r="L59" s="7"/>
    </row>
    <row r="60" spans="1:13">
      <c r="C60" s="21"/>
      <c r="K60" s="2"/>
      <c r="L60" s="7"/>
    </row>
    <row r="61" spans="1:13">
      <c r="K61" s="2"/>
      <c r="L61" s="7"/>
    </row>
    <row r="62" spans="1:13">
      <c r="C62" s="7"/>
      <c r="D62" s="7"/>
      <c r="E62" s="7"/>
      <c r="F62" s="7"/>
      <c r="G62" s="7"/>
      <c r="H62" s="7"/>
      <c r="I62" s="7"/>
      <c r="J62" s="22"/>
      <c r="K62" s="7"/>
      <c r="L62" s="7"/>
    </row>
    <row r="63" spans="1:13">
      <c r="C63" s="2"/>
      <c r="D63" s="2"/>
      <c r="E63" s="3"/>
      <c r="F63" s="2"/>
      <c r="G63" s="2"/>
      <c r="H63" s="2"/>
      <c r="I63" s="2"/>
      <c r="J63" s="2"/>
      <c r="K63" s="4"/>
      <c r="L63" s="4"/>
      <c r="M63" s="5"/>
    </row>
    <row r="64" spans="1:13">
      <c r="C64" s="2"/>
      <c r="D64" s="2"/>
      <c r="E64" s="3"/>
      <c r="F64" s="2"/>
      <c r="G64" s="2"/>
      <c r="H64" s="2"/>
      <c r="I64" s="2"/>
      <c r="J64" s="5"/>
      <c r="K64" s="5"/>
      <c r="L64" s="5"/>
      <c r="M64" s="5" t="s">
        <v>279</v>
      </c>
    </row>
    <row r="65" spans="1:15">
      <c r="C65" s="2"/>
      <c r="D65" s="2"/>
      <c r="E65" s="3"/>
      <c r="F65" s="2"/>
      <c r="G65" s="2"/>
      <c r="H65" s="2"/>
      <c r="I65" s="2"/>
      <c r="J65" s="6"/>
      <c r="K65" s="6"/>
      <c r="L65" s="6"/>
      <c r="M65" s="6" t="s">
        <v>284</v>
      </c>
    </row>
    <row r="66" spans="1:15">
      <c r="C66" s="2"/>
      <c r="D66" s="2"/>
      <c r="E66" s="3"/>
      <c r="F66" s="2"/>
      <c r="G66" s="2"/>
      <c r="H66" s="2"/>
      <c r="I66" s="2"/>
      <c r="J66" s="2"/>
      <c r="K66" s="7"/>
      <c r="L66" s="6"/>
      <c r="M66" s="6"/>
    </row>
    <row r="67" spans="1:15">
      <c r="C67" s="2"/>
      <c r="D67" s="2"/>
      <c r="E67" s="3"/>
      <c r="F67" s="2"/>
      <c r="G67" s="2"/>
      <c r="H67" s="2"/>
      <c r="I67" s="2"/>
      <c r="J67" s="2"/>
      <c r="K67" s="7"/>
      <c r="L67" s="6"/>
    </row>
    <row r="68" spans="1:15">
      <c r="C68" s="2" t="s">
        <v>21</v>
      </c>
      <c r="D68" s="69"/>
      <c r="E68" s="69" t="s">
        <v>107</v>
      </c>
      <c r="F68" s="2"/>
      <c r="G68" s="2"/>
      <c r="H68" s="2"/>
      <c r="I68" s="2"/>
      <c r="K68" s="7"/>
      <c r="L68" s="7"/>
    </row>
    <row r="69" spans="1:15">
      <c r="C69" s="2"/>
      <c r="D69" s="8" t="s">
        <v>22</v>
      </c>
      <c r="E69" s="8" t="s">
        <v>23</v>
      </c>
      <c r="F69" s="8"/>
      <c r="G69" s="8"/>
      <c r="H69" s="8"/>
      <c r="I69" s="2"/>
      <c r="J69" s="2"/>
      <c r="K69" s="7"/>
      <c r="L69" s="7"/>
    </row>
    <row r="70" spans="1:15">
      <c r="C70" s="2"/>
      <c r="D70" s="8"/>
      <c r="E70" s="8"/>
      <c r="F70" s="8"/>
      <c r="G70" s="8"/>
      <c r="H70" s="8"/>
      <c r="I70" s="2"/>
      <c r="J70" s="2"/>
      <c r="K70" s="181"/>
      <c r="L70" s="182"/>
      <c r="M70" s="180" t="str">
        <f>+M8</f>
        <v>For the 12 months ended 5/31/XX</v>
      </c>
    </row>
    <row r="71" spans="1:15" ht="15.75">
      <c r="C71" s="7"/>
      <c r="D71" s="7"/>
      <c r="E71" s="183" t="str">
        <f>+D9</f>
        <v>HURLEY AVENUE PROJECT - SYSTEM DELIVERABILITY UPGRADE</v>
      </c>
      <c r="F71" s="8"/>
      <c r="G71" s="8"/>
      <c r="H71" s="8"/>
      <c r="I71" s="8"/>
      <c r="J71" s="8"/>
      <c r="K71" s="8"/>
      <c r="L71" s="8"/>
      <c r="M71" s="237"/>
    </row>
    <row r="72" spans="1:15">
      <c r="C72" s="24" t="s">
        <v>24</v>
      </c>
      <c r="D72" s="24" t="s">
        <v>25</v>
      </c>
      <c r="E72" s="24" t="s">
        <v>26</v>
      </c>
      <c r="F72" s="8" t="s">
        <v>22</v>
      </c>
      <c r="G72" s="8"/>
      <c r="H72" s="25" t="s">
        <v>27</v>
      </c>
      <c r="I72" s="8"/>
      <c r="J72" s="26" t="s">
        <v>28</v>
      </c>
      <c r="K72" s="8"/>
      <c r="L72" s="10"/>
      <c r="M72" s="10"/>
    </row>
    <row r="73" spans="1:15" ht="15.75">
      <c r="C73" s="7"/>
      <c r="D73" s="27" t="s">
        <v>483</v>
      </c>
      <c r="E73" s="8"/>
      <c r="F73" s="8"/>
      <c r="G73" s="8"/>
      <c r="H73" s="4"/>
      <c r="I73" s="8"/>
      <c r="J73" s="28" t="s">
        <v>38</v>
      </c>
      <c r="K73" s="8"/>
      <c r="L73" s="24"/>
      <c r="M73" s="29"/>
    </row>
    <row r="74" spans="1:15" ht="15.75">
      <c r="A74" s="9" t="s">
        <v>29</v>
      </c>
      <c r="C74" s="7"/>
      <c r="D74" s="30" t="s">
        <v>484</v>
      </c>
      <c r="E74" s="28" t="s">
        <v>39</v>
      </c>
      <c r="F74" s="31"/>
      <c r="G74" s="28" t="s">
        <v>40</v>
      </c>
      <c r="H74" s="7"/>
      <c r="I74" s="31"/>
      <c r="J74" s="32" t="s">
        <v>41</v>
      </c>
      <c r="K74" s="8"/>
      <c r="L74" s="4"/>
      <c r="M74" s="50"/>
    </row>
    <row r="75" spans="1:15" ht="16.5" thickBot="1">
      <c r="A75" s="12" t="s">
        <v>31</v>
      </c>
      <c r="C75" s="33" t="s">
        <v>42</v>
      </c>
      <c r="D75" s="8"/>
      <c r="E75" s="8"/>
      <c r="F75" s="8"/>
      <c r="G75" s="8"/>
      <c r="H75" s="8"/>
      <c r="I75" s="8"/>
      <c r="J75" s="8"/>
      <c r="K75" s="8"/>
      <c r="L75" s="8"/>
      <c r="M75" s="50"/>
    </row>
    <row r="76" spans="1:15">
      <c r="A76" s="9"/>
      <c r="C76" s="7"/>
      <c r="D76" s="8"/>
      <c r="E76" s="8"/>
      <c r="F76" s="8"/>
      <c r="G76" s="8"/>
      <c r="H76" s="8"/>
      <c r="I76" s="8"/>
      <c r="J76" s="8"/>
      <c r="K76" s="8"/>
      <c r="L76" s="8"/>
      <c r="M76" s="50"/>
    </row>
    <row r="77" spans="1:15">
      <c r="A77" s="9"/>
      <c r="C77" s="7" t="s">
        <v>321</v>
      </c>
      <c r="D77" s="8"/>
      <c r="E77" s="8"/>
      <c r="F77" s="8"/>
      <c r="G77" s="8"/>
      <c r="H77" s="8"/>
      <c r="I77" s="8"/>
      <c r="J77" s="8"/>
      <c r="K77" s="8"/>
      <c r="L77" s="8"/>
      <c r="M77" s="50"/>
    </row>
    <row r="78" spans="1:15" ht="15.75">
      <c r="A78" s="9">
        <f>+A24+1</f>
        <v>6</v>
      </c>
      <c r="C78" s="7" t="s">
        <v>43</v>
      </c>
      <c r="D78" s="605" t="str">
        <f>"Attachment 2, Line "&amp;'2 - Cost Support'!A85&amp;""</f>
        <v>Attachment 2, Line 75</v>
      </c>
      <c r="E78" s="70">
        <f>+'2 - Cost Support'!H85</f>
        <v>0</v>
      </c>
      <c r="F78" s="8"/>
      <c r="G78" s="8" t="s">
        <v>44</v>
      </c>
      <c r="H78" s="367"/>
      <c r="I78" s="8"/>
      <c r="J78" s="103"/>
      <c r="K78" s="428"/>
      <c r="L78" s="76"/>
      <c r="M78" s="50"/>
      <c r="N78" s="34"/>
    </row>
    <row r="79" spans="1:15">
      <c r="A79" s="9">
        <f>+A78+1</f>
        <v>7</v>
      </c>
      <c r="C79" s="7" t="s">
        <v>57</v>
      </c>
      <c r="D79" s="605" t="str">
        <f>"Attachment 2, Line "&amp;'2 - Cost Support'!A21&amp;""</f>
        <v>Attachment 2, Line 15</v>
      </c>
      <c r="E79" s="70">
        <f>+'2 - Cost Support'!H21</f>
        <v>0</v>
      </c>
      <c r="F79" s="8"/>
      <c r="G79" s="8" t="s">
        <v>37</v>
      </c>
      <c r="H79" s="596">
        <f>+J$208</f>
        <v>1</v>
      </c>
      <c r="I79" s="8"/>
      <c r="J79" s="103">
        <f>+H79*E79</f>
        <v>0</v>
      </c>
      <c r="K79" s="8"/>
      <c r="L79" s="76"/>
      <c r="N79" s="577"/>
      <c r="O79" s="85"/>
    </row>
    <row r="80" spans="1:15">
      <c r="A80" s="9">
        <f>+A79+1</f>
        <v>8</v>
      </c>
      <c r="C80" s="7" t="s">
        <v>46</v>
      </c>
      <c r="D80" s="605" t="str">
        <f>"Attachment 2, Line "&amp;'2 - Cost Support'!A37&amp;""</f>
        <v>Attachment 2, Line 30</v>
      </c>
      <c r="E80" s="70">
        <f>+'2 - Cost Support'!H37</f>
        <v>0</v>
      </c>
      <c r="F80" s="8"/>
      <c r="G80" s="8" t="s">
        <v>44</v>
      </c>
      <c r="H80" s="367"/>
      <c r="I80" s="8"/>
      <c r="J80" s="103"/>
      <c r="K80" s="8"/>
      <c r="L80" s="76"/>
      <c r="N80" s="577"/>
    </row>
    <row r="81" spans="1:15">
      <c r="A81" s="9">
        <f>+A80+1</f>
        <v>9</v>
      </c>
      <c r="C81" s="7" t="s">
        <v>182</v>
      </c>
      <c r="D81" s="605" t="str">
        <f>"Attachment 2, Line "&amp;'2 - Cost Support'!A53&amp;" + Line "&amp;'2 - Cost Support'!A69&amp;""</f>
        <v>Attachment 2, Line 45 + Line 60</v>
      </c>
      <c r="E81" s="231">
        <f>+'2 - Cost Support'!H53+'2 - Cost Support'!H69</f>
        <v>0</v>
      </c>
      <c r="F81" s="8"/>
      <c r="G81" s="8" t="s">
        <v>47</v>
      </c>
      <c r="H81" s="598">
        <f>+J232</f>
        <v>0</v>
      </c>
      <c r="I81" s="8"/>
      <c r="J81" s="232">
        <f>+H81*E81</f>
        <v>0</v>
      </c>
      <c r="K81" s="8"/>
      <c r="L81" s="76"/>
      <c r="N81" s="577"/>
      <c r="O81" s="85"/>
    </row>
    <row r="82" spans="1:15">
      <c r="A82" s="9">
        <f>+A81+1</f>
        <v>10</v>
      </c>
      <c r="C82" s="2" t="s">
        <v>456</v>
      </c>
      <c r="D82" s="8" t="str">
        <f>+"Sum of Lines "&amp;A78&amp;" through "&amp;A81&amp;""</f>
        <v>Sum of Lines 6 through 9</v>
      </c>
      <c r="E82" s="70">
        <f>SUM(E78:E81)</f>
        <v>0</v>
      </c>
      <c r="F82" s="8"/>
      <c r="G82" s="8" t="s">
        <v>48</v>
      </c>
      <c r="H82" s="377">
        <f>IF(J82=0,0,J82/E82)</f>
        <v>0</v>
      </c>
      <c r="I82" s="8"/>
      <c r="J82" s="103">
        <f>SUM(J78:J81)</f>
        <v>0</v>
      </c>
      <c r="K82" s="8"/>
      <c r="L82" s="46"/>
      <c r="N82" s="577"/>
      <c r="O82" s="85"/>
    </row>
    <row r="83" spans="1:15">
      <c r="A83" s="9"/>
      <c r="C83" s="7"/>
      <c r="D83" s="8"/>
      <c r="E83" s="70"/>
      <c r="F83" s="8"/>
      <c r="G83" s="8"/>
      <c r="H83" s="378"/>
      <c r="I83" s="8"/>
      <c r="J83" s="103"/>
      <c r="K83" s="8"/>
      <c r="L83" s="35"/>
      <c r="N83" s="577"/>
    </row>
    <row r="84" spans="1:15">
      <c r="A84" s="9"/>
      <c r="C84" s="7" t="s">
        <v>322</v>
      </c>
      <c r="D84" s="8"/>
      <c r="E84" s="70"/>
      <c r="F84" s="8"/>
      <c r="G84" s="8"/>
      <c r="H84" s="367"/>
      <c r="I84" s="8"/>
      <c r="J84" s="103"/>
      <c r="K84" s="8"/>
      <c r="L84" s="8"/>
      <c r="N84" s="577"/>
    </row>
    <row r="85" spans="1:15">
      <c r="A85" s="9">
        <f>+A82+1</f>
        <v>11</v>
      </c>
      <c r="C85" s="7" t="str">
        <f>+C78</f>
        <v xml:space="preserve">  Production</v>
      </c>
      <c r="D85" s="605" t="str">
        <f>"Attachment 2, Line "&amp;'2 - Cost Support'!A171&amp;""</f>
        <v>Attachment 2, Line 151</v>
      </c>
      <c r="E85" s="70">
        <f>+'2 - Cost Support'!H171</f>
        <v>0</v>
      </c>
      <c r="F85" s="8"/>
      <c r="G85" s="8" t="str">
        <f>+G78</f>
        <v>NA</v>
      </c>
      <c r="H85" s="367"/>
      <c r="I85" s="8"/>
      <c r="J85" s="103"/>
      <c r="K85" s="8"/>
      <c r="L85" s="76"/>
      <c r="N85" s="577"/>
    </row>
    <row r="86" spans="1:15" ht="30">
      <c r="A86" s="9">
        <f>+A85+1</f>
        <v>12</v>
      </c>
      <c r="C86" s="7" t="s">
        <v>57</v>
      </c>
      <c r="D86" s="610" t="str">
        <f>"Attachment 2, Line "&amp;'2 - Cost Support'!A107&amp;" or Attachment 9, Line "&amp;'9 - Workpaper'!A59&amp;""</f>
        <v>Attachment 2, Line 91 or Attachment 9, Line 38</v>
      </c>
      <c r="E86" s="70">
        <f>+'2 - Cost Support'!H107</f>
        <v>0</v>
      </c>
      <c r="F86" s="8"/>
      <c r="G86" s="8" t="s">
        <v>127</v>
      </c>
      <c r="H86" s="596"/>
      <c r="I86" s="8"/>
      <c r="J86" s="103">
        <f>+'9 - Workpaper'!C59</f>
        <v>0</v>
      </c>
      <c r="K86" s="8"/>
      <c r="L86" s="78"/>
      <c r="N86" s="577"/>
      <c r="O86" s="85"/>
    </row>
    <row r="87" spans="1:15">
      <c r="A87" s="9">
        <f>+A86+1</f>
        <v>13</v>
      </c>
      <c r="C87" s="7" t="str">
        <f>+C80</f>
        <v xml:space="preserve">  Distribution</v>
      </c>
      <c r="D87" s="605" t="str">
        <f>"Attachment 2, Line "&amp;'2 - Cost Support'!A123&amp;""</f>
        <v>Attachment 2, Line 106</v>
      </c>
      <c r="E87" s="70">
        <f>+'2 - Cost Support'!H123</f>
        <v>0</v>
      </c>
      <c r="F87" s="8"/>
      <c r="G87" s="8" t="str">
        <f>+G80</f>
        <v>NA</v>
      </c>
      <c r="H87" s="367"/>
      <c r="I87" s="8"/>
      <c r="J87" s="407"/>
      <c r="K87" s="8"/>
      <c r="L87" s="78"/>
      <c r="N87" s="577"/>
    </row>
    <row r="88" spans="1:15">
      <c r="A88" s="9">
        <f>+A87+1</f>
        <v>14</v>
      </c>
      <c r="C88" s="7" t="s">
        <v>182</v>
      </c>
      <c r="D88" s="605" t="str">
        <f>"Attachment 2, Line "&amp;'2 - Cost Support'!A139&amp;" + Line "&amp;'2 - Cost Support'!A155&amp;""</f>
        <v>Attachment 2, Line 121 + Line 136</v>
      </c>
      <c r="E88" s="231">
        <f>+'2 - Cost Support'!H139+'2 - Cost Support'!H155</f>
        <v>0</v>
      </c>
      <c r="F88" s="8"/>
      <c r="G88" s="8" t="s">
        <v>47</v>
      </c>
      <c r="H88" s="367">
        <f>+J232</f>
        <v>0</v>
      </c>
      <c r="I88" s="8"/>
      <c r="J88" s="232">
        <f>+H88*E88</f>
        <v>0</v>
      </c>
      <c r="K88" s="8"/>
      <c r="L88" s="78"/>
      <c r="N88" s="577"/>
      <c r="O88" s="85"/>
    </row>
    <row r="89" spans="1:15" ht="30">
      <c r="A89" s="9">
        <f>+A88+1</f>
        <v>15</v>
      </c>
      <c r="C89" s="600" t="s">
        <v>457</v>
      </c>
      <c r="D89" s="8" t="str">
        <f>+"Sum of Lines "&amp;A85&amp;" through "&amp;A88&amp;""</f>
        <v>Sum of Lines 11 through 14</v>
      </c>
      <c r="E89" s="70">
        <f>SUM(E85:E88)</f>
        <v>0</v>
      </c>
      <c r="F89" s="8"/>
      <c r="G89" s="8"/>
      <c r="H89" s="367"/>
      <c r="I89" s="8"/>
      <c r="J89" s="103">
        <f>SUM(J85:J88)</f>
        <v>0</v>
      </c>
      <c r="K89" s="8"/>
      <c r="L89" s="8"/>
      <c r="N89" s="577"/>
      <c r="O89" s="85"/>
    </row>
    <row r="90" spans="1:15">
      <c r="A90" s="9"/>
      <c r="D90" s="8" t="s">
        <v>22</v>
      </c>
      <c r="E90" s="227"/>
      <c r="F90" s="8"/>
      <c r="G90" s="8"/>
      <c r="H90" s="378"/>
      <c r="I90" s="8"/>
      <c r="J90" s="91"/>
      <c r="K90" s="8"/>
      <c r="L90" s="35"/>
      <c r="N90" s="577"/>
    </row>
    <row r="91" spans="1:15">
      <c r="A91" s="9"/>
      <c r="C91" s="7" t="s">
        <v>49</v>
      </c>
      <c r="D91" s="8"/>
      <c r="E91" s="70"/>
      <c r="F91" s="8"/>
      <c r="G91" s="8"/>
      <c r="H91" s="367"/>
      <c r="I91" s="8"/>
      <c r="J91" s="103"/>
      <c r="K91" s="8"/>
      <c r="L91" s="8"/>
      <c r="N91" s="577"/>
    </row>
    <row r="92" spans="1:15">
      <c r="A92" s="9">
        <f>+A89+1</f>
        <v>16</v>
      </c>
      <c r="C92" s="7" t="str">
        <f>+C85</f>
        <v xml:space="preserve">  Production</v>
      </c>
      <c r="D92" s="8" t="str">
        <f>" Line "&amp;A78&amp;"- Line "&amp;A85&amp;""</f>
        <v xml:space="preserve"> Line 6- Line 11</v>
      </c>
      <c r="E92" s="70">
        <f>+E78-E85</f>
        <v>0</v>
      </c>
      <c r="F92" s="8"/>
      <c r="G92" s="8"/>
      <c r="H92" s="378"/>
      <c r="I92" s="8"/>
      <c r="J92" s="103">
        <f>+J78-J85</f>
        <v>0</v>
      </c>
      <c r="K92" s="8"/>
      <c r="L92" s="35"/>
      <c r="N92" s="577"/>
    </row>
    <row r="93" spans="1:15">
      <c r="A93" s="9">
        <f>+A92+1</f>
        <v>17</v>
      </c>
      <c r="C93" s="7" t="s">
        <v>45</v>
      </c>
      <c r="D93" s="8" t="str">
        <f t="shared" ref="D93:D95" si="0">" Line "&amp;A79&amp;"- Line "&amp;A86&amp;""</f>
        <v xml:space="preserve"> Line 7- Line 12</v>
      </c>
      <c r="E93" s="70">
        <f>+E79-E86</f>
        <v>0</v>
      </c>
      <c r="F93" s="8"/>
      <c r="G93" s="8"/>
      <c r="H93" s="367"/>
      <c r="I93" s="8"/>
      <c r="J93" s="103">
        <f>+J79-J86</f>
        <v>0</v>
      </c>
      <c r="K93" s="8"/>
      <c r="L93" s="35"/>
      <c r="N93" s="577"/>
    </row>
    <row r="94" spans="1:15">
      <c r="A94" s="9">
        <f>+A93+1</f>
        <v>18</v>
      </c>
      <c r="C94" s="7" t="str">
        <f>+C87</f>
        <v xml:space="preserve">  Distribution</v>
      </c>
      <c r="D94" s="8" t="str">
        <f t="shared" si="0"/>
        <v xml:space="preserve"> Line 8- Line 13</v>
      </c>
      <c r="E94" s="70">
        <f>+E80-E87</f>
        <v>0</v>
      </c>
      <c r="F94" s="8"/>
      <c r="G94" s="8"/>
      <c r="H94" s="378"/>
      <c r="I94" s="8"/>
      <c r="J94" s="103">
        <f>+J80-J87</f>
        <v>0</v>
      </c>
      <c r="K94" s="8"/>
      <c r="L94" s="35"/>
      <c r="N94" s="577"/>
    </row>
    <row r="95" spans="1:15">
      <c r="A95" s="9">
        <f>+A94+1</f>
        <v>19</v>
      </c>
      <c r="C95" s="7" t="s">
        <v>106</v>
      </c>
      <c r="D95" s="8" t="str">
        <f t="shared" si="0"/>
        <v xml:space="preserve"> Line 9- Line 14</v>
      </c>
      <c r="E95" s="231">
        <f>+E81-E88</f>
        <v>0</v>
      </c>
      <c r="F95" s="8"/>
      <c r="G95" s="8"/>
      <c r="H95" s="378"/>
      <c r="I95" s="8"/>
      <c r="J95" s="103">
        <f>+J81-J88</f>
        <v>0</v>
      </c>
      <c r="K95" s="8"/>
      <c r="L95" s="35"/>
      <c r="N95" s="577"/>
    </row>
    <row r="96" spans="1:15">
      <c r="A96" s="9">
        <f>+A95+1</f>
        <v>20</v>
      </c>
      <c r="C96" s="7" t="s">
        <v>458</v>
      </c>
      <c r="D96" s="8" t="str">
        <f>+"Sum of Lines "&amp;A92&amp;" through "&amp;A95&amp;""</f>
        <v>Sum of Lines 16 through 19</v>
      </c>
      <c r="E96" s="70">
        <f>SUM(E92:E95)</f>
        <v>0</v>
      </c>
      <c r="F96" s="8"/>
      <c r="G96" s="8" t="s">
        <v>50</v>
      </c>
      <c r="H96" s="377">
        <f>IF(J96=0,0,J96/E96)</f>
        <v>0</v>
      </c>
      <c r="I96" s="8"/>
      <c r="J96" s="103">
        <f>SUM(J92:J95)</f>
        <v>0</v>
      </c>
      <c r="K96" s="8"/>
      <c r="L96" s="8"/>
      <c r="N96" s="577"/>
      <c r="O96" s="85"/>
    </row>
    <row r="97" spans="1:14">
      <c r="A97" s="9"/>
      <c r="D97" s="8"/>
      <c r="E97" s="227"/>
      <c r="F97" s="8"/>
      <c r="H97" s="379"/>
      <c r="I97" s="8"/>
      <c r="J97" s="91"/>
      <c r="K97" s="8"/>
      <c r="L97" s="35"/>
      <c r="N97" s="50"/>
    </row>
    <row r="98" spans="1:14">
      <c r="A98" s="9"/>
      <c r="C98" s="2" t="s">
        <v>491</v>
      </c>
      <c r="D98" s="8"/>
      <c r="E98" s="70"/>
      <c r="F98" s="8"/>
      <c r="G98" s="8"/>
      <c r="H98" s="370"/>
      <c r="I98" s="8"/>
      <c r="J98" s="103"/>
      <c r="K98" s="8"/>
      <c r="L98" s="8"/>
      <c r="M98" s="50"/>
    </row>
    <row r="99" spans="1:14">
      <c r="A99" s="9">
        <f>+A96+1</f>
        <v>21</v>
      </c>
      <c r="C99" s="7" t="s">
        <v>490</v>
      </c>
      <c r="D99" s="605" t="str">
        <f>"Attachment 6a, Line "&amp;'6a - ADIT'!A20&amp;""</f>
        <v>Attachment 6a, Line 11</v>
      </c>
      <c r="E99" s="70">
        <f>+'6a - ADIT'!G20</f>
        <v>0</v>
      </c>
      <c r="F99" s="8"/>
      <c r="G99" s="8" t="s">
        <v>127</v>
      </c>
      <c r="H99" s="599">
        <v>1</v>
      </c>
      <c r="I99" s="8"/>
      <c r="J99" s="70">
        <f t="shared" ref="J99:J102" si="1">+H99*E99</f>
        <v>0</v>
      </c>
      <c r="K99" s="8"/>
      <c r="L99" s="8"/>
      <c r="M99" s="50"/>
      <c r="N99" s="16"/>
    </row>
    <row r="100" spans="1:14">
      <c r="A100" s="9">
        <f t="shared" ref="A100:A103" si="2">+A99+1</f>
        <v>22</v>
      </c>
      <c r="C100" s="884" t="s">
        <v>680</v>
      </c>
      <c r="F100" s="8"/>
      <c r="G100" s="8"/>
      <c r="H100" s="595"/>
      <c r="I100" s="8"/>
      <c r="J100" s="70"/>
      <c r="K100" s="8"/>
      <c r="L100" s="8"/>
      <c r="M100" s="50"/>
      <c r="N100" s="16"/>
    </row>
    <row r="101" spans="1:14">
      <c r="A101" s="9">
        <f t="shared" si="2"/>
        <v>23</v>
      </c>
      <c r="C101" s="7" t="s">
        <v>215</v>
      </c>
      <c r="D101" s="605" t="str">
        <f>"Attachment 3, Line "&amp;'3 - Cost Support'!A8&amp;""</f>
        <v>Attachment 3, Line 1</v>
      </c>
      <c r="E101" s="70">
        <f>+'3 - Cost Support'!G8</f>
        <v>0</v>
      </c>
      <c r="F101" s="8"/>
      <c r="G101" s="8" t="s">
        <v>51</v>
      </c>
      <c r="H101" s="370">
        <f>+H$96</f>
        <v>0</v>
      </c>
      <c r="I101" s="8"/>
      <c r="J101" s="83">
        <f t="shared" si="1"/>
        <v>0</v>
      </c>
      <c r="K101" s="8"/>
      <c r="L101" s="8"/>
      <c r="M101" s="50"/>
      <c r="N101" s="16"/>
    </row>
    <row r="102" spans="1:14">
      <c r="A102" s="9">
        <f t="shared" si="2"/>
        <v>24</v>
      </c>
      <c r="C102" s="229" t="s">
        <v>324</v>
      </c>
      <c r="D102" s="608" t="str">
        <f>"Attachment 3, Line "&amp;'3 - Cost Support'!A41&amp;""</f>
        <v>Attachment 3, Line 22</v>
      </c>
      <c r="E102" s="231">
        <f>+'3 - Cost Support'!I41</f>
        <v>0</v>
      </c>
      <c r="F102" s="230"/>
      <c r="G102" s="230" t="s">
        <v>127</v>
      </c>
      <c r="H102" s="609">
        <v>1</v>
      </c>
      <c r="I102" s="230"/>
      <c r="J102" s="231">
        <f t="shared" si="1"/>
        <v>0</v>
      </c>
      <c r="K102" s="8"/>
      <c r="L102" s="46"/>
      <c r="M102" s="50"/>
      <c r="N102" s="16"/>
    </row>
    <row r="103" spans="1:14">
      <c r="A103" s="9">
        <f t="shared" si="2"/>
        <v>25</v>
      </c>
      <c r="C103" s="67" t="s">
        <v>459</v>
      </c>
      <c r="D103" s="8"/>
      <c r="E103" s="70">
        <f>SUM(E99:E102)</f>
        <v>0</v>
      </c>
      <c r="F103" s="8"/>
      <c r="G103" s="8"/>
      <c r="H103" s="367"/>
      <c r="I103" s="8"/>
      <c r="J103" s="103">
        <f>SUM(J99:J102)</f>
        <v>0</v>
      </c>
      <c r="K103" s="8"/>
      <c r="L103" s="8"/>
      <c r="M103" s="50"/>
    </row>
    <row r="104" spans="1:14">
      <c r="A104" s="9"/>
      <c r="D104" s="8"/>
      <c r="E104" s="227"/>
      <c r="F104" s="8"/>
      <c r="G104" s="8"/>
      <c r="H104" s="378"/>
      <c r="I104" s="8"/>
      <c r="J104" s="91"/>
      <c r="K104" s="8"/>
      <c r="L104" s="35"/>
      <c r="M104" s="50"/>
    </row>
    <row r="105" spans="1:14" ht="15.75">
      <c r="A105" s="9">
        <f>+A103+1</f>
        <v>26</v>
      </c>
      <c r="C105" s="2" t="s">
        <v>184</v>
      </c>
      <c r="D105" s="605" t="str">
        <f>"Attachment 9, Line "&amp;'9 - Workpaper'!A21&amp;""</f>
        <v>Attachment 9, Line 11</v>
      </c>
      <c r="E105" s="70">
        <f>+'9 - Workpaper'!R21</f>
        <v>0</v>
      </c>
      <c r="F105" s="8"/>
      <c r="G105" s="8" t="str">
        <f>+G86</f>
        <v>DA</v>
      </c>
      <c r="H105" s="367">
        <f>+J$208</f>
        <v>1</v>
      </c>
      <c r="I105" s="8"/>
      <c r="J105" s="103">
        <f>+H105*E105</f>
        <v>0</v>
      </c>
      <c r="K105" s="428"/>
      <c r="L105" s="8"/>
      <c r="M105" s="50"/>
    </row>
    <row r="106" spans="1:14">
      <c r="A106" s="9"/>
      <c r="C106" s="7"/>
      <c r="D106" s="8"/>
      <c r="E106" s="70"/>
      <c r="F106" s="8"/>
      <c r="G106" s="8"/>
      <c r="H106" s="367"/>
      <c r="I106" s="8"/>
      <c r="J106" s="103"/>
      <c r="K106" s="8"/>
      <c r="L106" s="8"/>
      <c r="M106" s="50"/>
    </row>
    <row r="107" spans="1:14">
      <c r="A107" s="9"/>
      <c r="C107" s="7" t="str">
        <f>"WORKING CAPITAL  (Note "&amp;A269&amp;")"</f>
        <v>WORKING CAPITAL  (Note C)</v>
      </c>
      <c r="D107" s="8" t="s">
        <v>22</v>
      </c>
      <c r="E107" s="70"/>
      <c r="F107" s="8"/>
      <c r="G107" s="8"/>
      <c r="H107" s="367"/>
      <c r="I107" s="8"/>
      <c r="J107" s="103"/>
      <c r="K107" s="8"/>
      <c r="L107" s="8"/>
      <c r="M107" s="50"/>
    </row>
    <row r="108" spans="1:14">
      <c r="A108" s="9">
        <f>+A105+1</f>
        <v>27</v>
      </c>
      <c r="C108" s="7" t="s">
        <v>53</v>
      </c>
      <c r="D108" s="85" t="str">
        <f>"Calculated (1/8 * Line "&amp;A147&amp;""</f>
        <v>Calculated (1/8 * Line 39</v>
      </c>
      <c r="E108" s="70">
        <f>+E147/8</f>
        <v>0</v>
      </c>
      <c r="F108" s="8"/>
      <c r="G108" s="8"/>
      <c r="H108" s="378"/>
      <c r="I108" s="8"/>
      <c r="J108" s="70">
        <f>+J147/8</f>
        <v>0</v>
      </c>
      <c r="K108" s="8"/>
      <c r="L108" s="46"/>
      <c r="M108" s="50"/>
    </row>
    <row r="109" spans="1:14">
      <c r="A109" s="9">
        <f>+A108+1</f>
        <v>28</v>
      </c>
      <c r="C109" s="7" t="s">
        <v>130</v>
      </c>
      <c r="D109" s="605" t="str">
        <f>"Attachment 3, Line "&amp;'3 - Cost Support'!A133&amp;""</f>
        <v>Attachment 3, Line 55</v>
      </c>
      <c r="E109" s="70">
        <f>+'3 - Cost Support'!H133+'3 - Cost Support'!K133</f>
        <v>0</v>
      </c>
      <c r="F109" s="8"/>
      <c r="G109" s="938" t="s">
        <v>421</v>
      </c>
      <c r="H109" s="938"/>
      <c r="I109" s="8"/>
      <c r="J109" s="70">
        <f>+'3 - Cost Support'!N133</f>
        <v>0</v>
      </c>
      <c r="K109" s="8"/>
      <c r="L109" s="35"/>
      <c r="M109" s="50"/>
    </row>
    <row r="110" spans="1:14">
      <c r="A110" s="9">
        <f>+A109+1</f>
        <v>29</v>
      </c>
      <c r="C110" s="229" t="s">
        <v>289</v>
      </c>
      <c r="D110" s="608" t="str">
        <f>"Attachment 3, Line "&amp;'3 - Cost Support'!A25&amp;""</f>
        <v>Attachment 3, Line 15</v>
      </c>
      <c r="E110" s="231">
        <f>+'3 - Cost Support'!F25</f>
        <v>0</v>
      </c>
      <c r="F110" s="230"/>
      <c r="G110" s="230" t="s">
        <v>55</v>
      </c>
      <c r="H110" s="371">
        <f>+H$82</f>
        <v>0</v>
      </c>
      <c r="I110" s="230"/>
      <c r="J110" s="232">
        <f>+H110*E110</f>
        <v>0</v>
      </c>
      <c r="K110" s="8"/>
      <c r="L110" s="8"/>
      <c r="M110" s="8"/>
    </row>
    <row r="111" spans="1:14">
      <c r="A111" s="9">
        <f>+A110+1</f>
        <v>30</v>
      </c>
      <c r="C111" s="7" t="s">
        <v>460</v>
      </c>
      <c r="D111" s="7" t="str">
        <f>"Sum of Lines "&amp;A108&amp;" through "&amp;A110&amp;")"</f>
        <v>Sum of Lines 27 through 29)</v>
      </c>
      <c r="E111" s="103">
        <f>SUM(E108:E110)</f>
        <v>0</v>
      </c>
      <c r="F111" s="7"/>
      <c r="G111" s="7"/>
      <c r="H111" s="7"/>
      <c r="I111" s="7"/>
      <c r="J111" s="103">
        <f>SUM(J108:J110)</f>
        <v>0</v>
      </c>
      <c r="K111" s="8"/>
      <c r="L111" s="8"/>
      <c r="M111" s="8"/>
    </row>
    <row r="112" spans="1:14" ht="15.75" thickBot="1">
      <c r="A112" s="9"/>
      <c r="D112" s="8"/>
      <c r="E112" s="92"/>
      <c r="F112" s="8"/>
      <c r="G112" s="8"/>
      <c r="H112" s="8"/>
      <c r="I112" s="8"/>
      <c r="J112" s="92"/>
      <c r="K112" s="8"/>
    </row>
    <row r="113" spans="1:13" ht="15.75" thickBot="1">
      <c r="A113" s="9">
        <f>+A111+1</f>
        <v>31</v>
      </c>
      <c r="C113" s="7" t="s">
        <v>461</v>
      </c>
      <c r="D113" s="8" t="str">
        <f>"Sum of Lines "&amp;A96&amp;", "&amp;A103&amp;", "&amp;A105&amp;", &amp; "&amp;A111&amp;")"</f>
        <v>Sum of Lines 20, 25, 26, &amp; 30)</v>
      </c>
      <c r="E113" s="104">
        <f>+E96+E103+E105+E111</f>
        <v>0</v>
      </c>
      <c r="F113" s="8"/>
      <c r="G113" s="8"/>
      <c r="H113" s="35"/>
      <c r="I113" s="8"/>
      <c r="J113" s="104">
        <f>+J96+J103+J105+J111</f>
        <v>0</v>
      </c>
      <c r="K113" s="8"/>
      <c r="L113" s="8"/>
      <c r="M113" s="8"/>
    </row>
    <row r="114" spans="1:13" ht="15.75" thickTop="1">
      <c r="A114" s="9"/>
      <c r="C114" s="7"/>
      <c r="D114" s="8"/>
      <c r="E114" s="8"/>
      <c r="F114" s="8"/>
      <c r="G114" s="8"/>
      <c r="H114" s="8"/>
      <c r="I114" s="8"/>
      <c r="J114" s="103"/>
      <c r="K114" s="8"/>
      <c r="L114" s="8"/>
      <c r="M114" s="23"/>
    </row>
    <row r="115" spans="1:13">
      <c r="A115" s="9"/>
      <c r="C115" s="65"/>
      <c r="D115" s="8"/>
      <c r="E115" s="8"/>
      <c r="F115" s="8"/>
      <c r="G115" s="8"/>
      <c r="H115" s="8"/>
      <c r="I115" s="8"/>
      <c r="J115" s="103"/>
      <c r="K115" s="8"/>
      <c r="L115" s="8"/>
      <c r="M115" s="23"/>
    </row>
    <row r="116" spans="1:13">
      <c r="A116" s="9"/>
      <c r="C116" s="66"/>
      <c r="D116" s="8"/>
      <c r="E116" s="8"/>
      <c r="F116" s="8"/>
      <c r="G116" s="8"/>
      <c r="H116" s="8"/>
      <c r="I116" s="8"/>
      <c r="J116" s="103"/>
      <c r="K116" s="8"/>
      <c r="L116" s="8"/>
      <c r="M116" s="23"/>
    </row>
    <row r="117" spans="1:13">
      <c r="A117" s="9"/>
      <c r="C117" s="65"/>
      <c r="D117" s="8"/>
      <c r="E117" s="8"/>
      <c r="F117" s="8"/>
      <c r="G117" s="8"/>
      <c r="H117" s="8"/>
      <c r="I117" s="8"/>
      <c r="J117" s="103"/>
      <c r="K117" s="8"/>
      <c r="L117" s="8"/>
      <c r="M117" s="23"/>
    </row>
    <row r="118" spans="1:13">
      <c r="A118" s="9"/>
      <c r="C118" s="66"/>
      <c r="D118" s="8"/>
      <c r="E118" s="8"/>
      <c r="F118" s="8"/>
      <c r="G118" s="8"/>
      <c r="H118" s="8"/>
      <c r="I118" s="8"/>
      <c r="J118" s="103"/>
      <c r="K118" s="8"/>
      <c r="L118" s="8"/>
      <c r="M118" s="23"/>
    </row>
    <row r="119" spans="1:13">
      <c r="A119" s="9"/>
      <c r="C119" s="66"/>
      <c r="D119" s="8"/>
      <c r="E119" s="8"/>
      <c r="F119" s="8"/>
      <c r="G119" s="8"/>
      <c r="H119" s="8"/>
      <c r="I119" s="8"/>
      <c r="J119" s="103"/>
      <c r="K119" s="8"/>
      <c r="L119" s="8"/>
      <c r="M119" s="23"/>
    </row>
    <row r="120" spans="1:13">
      <c r="A120" s="9"/>
      <c r="D120" s="8"/>
      <c r="E120" s="8"/>
      <c r="F120" s="8"/>
      <c r="G120" s="8"/>
      <c r="H120" s="8"/>
      <c r="I120" s="8"/>
      <c r="J120" s="103"/>
      <c r="K120" s="8"/>
      <c r="L120" s="8"/>
      <c r="M120" s="23"/>
    </row>
    <row r="121" spans="1:13">
      <c r="A121" s="9"/>
      <c r="C121" s="19"/>
      <c r="D121" s="8"/>
      <c r="E121" s="8"/>
      <c r="F121" s="8"/>
      <c r="G121" s="8"/>
      <c r="H121" s="8"/>
      <c r="I121" s="8"/>
      <c r="J121" s="103"/>
      <c r="K121" s="8"/>
      <c r="L121" s="8"/>
      <c r="M121" s="23"/>
    </row>
    <row r="122" spans="1:13">
      <c r="A122" s="9"/>
      <c r="C122" s="20"/>
      <c r="D122" s="8"/>
      <c r="E122" s="8"/>
      <c r="F122" s="8"/>
      <c r="G122" s="8"/>
      <c r="H122" s="8"/>
      <c r="I122" s="8"/>
      <c r="J122" s="103"/>
      <c r="K122" s="8"/>
      <c r="L122" s="8"/>
      <c r="M122" s="23"/>
    </row>
    <row r="123" spans="1:13">
      <c r="A123" s="9"/>
      <c r="C123" s="20"/>
      <c r="D123" s="8"/>
      <c r="E123" s="8"/>
      <c r="F123" s="8"/>
      <c r="G123" s="8"/>
      <c r="H123" s="8"/>
      <c r="I123" s="8"/>
      <c r="J123" s="103"/>
      <c r="K123" s="8"/>
      <c r="L123" s="8"/>
      <c r="M123" s="23"/>
    </row>
    <row r="124" spans="1:13">
      <c r="A124" s="9"/>
      <c r="C124" s="7"/>
      <c r="D124" s="8"/>
      <c r="E124" s="8"/>
      <c r="F124" s="8"/>
      <c r="G124" s="8"/>
      <c r="H124" s="8"/>
      <c r="I124" s="8"/>
      <c r="J124" s="103"/>
      <c r="K124" s="8"/>
      <c r="L124" s="8"/>
      <c r="M124" s="23"/>
    </row>
    <row r="125" spans="1:13">
      <c r="A125" s="9"/>
      <c r="C125" s="2"/>
      <c r="D125" s="2"/>
      <c r="E125" s="3"/>
      <c r="F125" s="2"/>
      <c r="G125" s="2"/>
      <c r="H125" s="2"/>
      <c r="I125" s="2"/>
      <c r="J125" s="105"/>
      <c r="K125" s="4"/>
      <c r="L125" s="4"/>
      <c r="M125" s="5" t="s">
        <v>279</v>
      </c>
    </row>
    <row r="126" spans="1:13">
      <c r="A126" s="9"/>
      <c r="C126" s="2"/>
      <c r="D126" s="2"/>
      <c r="E126" s="3"/>
      <c r="F126" s="2"/>
      <c r="G126" s="2"/>
      <c r="H126" s="2"/>
      <c r="I126" s="2"/>
      <c r="J126" s="106"/>
      <c r="K126" s="5"/>
      <c r="L126" s="5"/>
      <c r="M126" s="6" t="s">
        <v>283</v>
      </c>
    </row>
    <row r="127" spans="1:13">
      <c r="A127" s="9"/>
      <c r="C127" s="2"/>
      <c r="D127" s="2"/>
      <c r="E127" s="3"/>
      <c r="F127" s="2"/>
      <c r="G127" s="2"/>
      <c r="H127" s="2"/>
      <c r="I127" s="2"/>
      <c r="J127" s="107"/>
      <c r="K127" s="6"/>
      <c r="L127" s="6"/>
      <c r="M127" s="6"/>
    </row>
    <row r="128" spans="1:13">
      <c r="A128" s="9"/>
      <c r="C128" s="2"/>
      <c r="D128" s="2"/>
      <c r="E128" s="3"/>
      <c r="F128" s="2"/>
      <c r="G128" s="2"/>
      <c r="H128" s="2"/>
      <c r="I128" s="2"/>
      <c r="J128" s="108"/>
      <c r="K128" s="7"/>
      <c r="L128" s="6"/>
      <c r="M128" s="6"/>
    </row>
    <row r="129" spans="1:14">
      <c r="A129" s="9"/>
      <c r="C129" s="2"/>
      <c r="D129" s="2"/>
      <c r="E129" s="3"/>
      <c r="F129" s="2"/>
      <c r="G129" s="2"/>
      <c r="H129" s="2"/>
      <c r="I129" s="2"/>
      <c r="J129" s="108"/>
      <c r="K129" s="7"/>
      <c r="L129" s="6"/>
    </row>
    <row r="130" spans="1:14">
      <c r="A130" s="9"/>
      <c r="C130" s="2" t="s">
        <v>21</v>
      </c>
      <c r="D130" s="69"/>
      <c r="E130" s="69" t="s">
        <v>107</v>
      </c>
      <c r="F130" s="2"/>
      <c r="G130" s="2"/>
      <c r="H130" s="2"/>
      <c r="I130" s="2"/>
      <c r="J130" s="91"/>
      <c r="K130" s="7"/>
      <c r="L130" s="7"/>
    </row>
    <row r="131" spans="1:14">
      <c r="A131" s="9"/>
      <c r="C131" s="2"/>
      <c r="D131" s="8" t="s">
        <v>22</v>
      </c>
      <c r="E131" s="8" t="s">
        <v>23</v>
      </c>
      <c r="F131" s="8"/>
      <c r="G131" s="8"/>
      <c r="H131" s="8"/>
      <c r="I131" s="2"/>
      <c r="J131" s="108"/>
      <c r="K131" s="7"/>
      <c r="L131" s="7"/>
    </row>
    <row r="132" spans="1:14">
      <c r="A132" s="9"/>
      <c r="C132" s="2"/>
      <c r="D132" s="8"/>
      <c r="E132" s="8"/>
      <c r="F132" s="8"/>
      <c r="G132" s="8"/>
      <c r="H132" s="8"/>
      <c r="I132" s="2"/>
      <c r="J132" s="108"/>
      <c r="K132" s="181"/>
      <c r="L132" s="182"/>
      <c r="M132" s="180" t="str">
        <f>+M70</f>
        <v>For the 12 months ended 5/31/XX</v>
      </c>
    </row>
    <row r="133" spans="1:14" ht="15.75">
      <c r="A133" s="9"/>
      <c r="D133" s="7"/>
      <c r="E133" s="183" t="str">
        <f>+E71</f>
        <v>HURLEY AVENUE PROJECT - SYSTEM DELIVERABILITY UPGRADE</v>
      </c>
      <c r="F133" s="7"/>
      <c r="G133" s="7"/>
      <c r="H133" s="7"/>
      <c r="I133" s="7"/>
      <c r="J133" s="103"/>
      <c r="K133" s="8"/>
      <c r="L133" s="8"/>
      <c r="M133" s="237"/>
    </row>
    <row r="134" spans="1:14">
      <c r="A134" s="9"/>
      <c r="C134" s="24" t="s">
        <v>24</v>
      </c>
      <c r="D134" s="24" t="s">
        <v>25</v>
      </c>
      <c r="E134" s="24" t="s">
        <v>26</v>
      </c>
      <c r="F134" s="8" t="s">
        <v>22</v>
      </c>
      <c r="G134" s="8"/>
      <c r="H134" s="25" t="s">
        <v>27</v>
      </c>
      <c r="I134" s="8"/>
      <c r="J134" s="109" t="s">
        <v>28</v>
      </c>
      <c r="K134" s="8"/>
      <c r="L134" s="10"/>
      <c r="M134" s="10"/>
    </row>
    <row r="135" spans="1:14" ht="15.75">
      <c r="A135" s="9"/>
      <c r="C135" s="24"/>
      <c r="D135" s="37"/>
      <c r="E135" s="37"/>
      <c r="F135" s="37"/>
      <c r="G135" s="37"/>
      <c r="H135" s="37"/>
      <c r="I135" s="37"/>
      <c r="J135" s="110"/>
      <c r="K135" s="37"/>
      <c r="L135" s="28"/>
      <c r="M135" s="37"/>
    </row>
    <row r="136" spans="1:14" ht="15.75">
      <c r="A136" s="9"/>
      <c r="C136" s="7"/>
      <c r="D136" s="27" t="str">
        <f>+D73</f>
        <v>Form No. 1 Reference</v>
      </c>
      <c r="E136" s="8"/>
      <c r="F136" s="8"/>
      <c r="G136" s="8"/>
      <c r="H136" s="4"/>
      <c r="I136" s="8"/>
      <c r="J136" s="111" t="s">
        <v>38</v>
      </c>
      <c r="K136" s="8"/>
      <c r="L136" s="24"/>
      <c r="M136" s="29"/>
    </row>
    <row r="137" spans="1:14" ht="15.75">
      <c r="A137" s="9"/>
      <c r="C137" s="7"/>
      <c r="D137" s="30" t="str">
        <f>+D74</f>
        <v>Attachment Reference</v>
      </c>
      <c r="E137" s="28" t="s">
        <v>39</v>
      </c>
      <c r="F137" s="31"/>
      <c r="G137" s="28" t="s">
        <v>40</v>
      </c>
      <c r="H137" s="7"/>
      <c r="I137" s="31"/>
      <c r="J137" s="112" t="s">
        <v>41</v>
      </c>
      <c r="K137" s="8"/>
      <c r="L137" s="4"/>
      <c r="M137" s="4"/>
    </row>
    <row r="138" spans="1:14" ht="15.75">
      <c r="A138" s="9"/>
      <c r="C138" s="7"/>
      <c r="D138" s="8"/>
      <c r="E138" s="38"/>
      <c r="F138" s="39"/>
      <c r="G138" s="30"/>
      <c r="H138" s="7"/>
      <c r="I138" s="39"/>
      <c r="J138" s="91"/>
    </row>
    <row r="139" spans="1:14">
      <c r="A139" s="9"/>
      <c r="C139" s="7" t="s">
        <v>56</v>
      </c>
      <c r="D139" s="8"/>
      <c r="E139" s="8"/>
      <c r="I139" s="8"/>
      <c r="J139" s="91"/>
    </row>
    <row r="140" spans="1:14">
      <c r="A140" s="9">
        <f>+A113+1</f>
        <v>32</v>
      </c>
      <c r="C140" s="7" t="s">
        <v>57</v>
      </c>
      <c r="D140" s="8" t="s">
        <v>442</v>
      </c>
      <c r="E140" s="113">
        <v>0</v>
      </c>
      <c r="F140" s="8"/>
      <c r="G140" s="8" t="s">
        <v>449</v>
      </c>
      <c r="H140" s="367">
        <f>+J215</f>
        <v>0</v>
      </c>
      <c r="I140" s="8"/>
      <c r="J140" s="91">
        <f t="shared" ref="J140:J145" si="3">+H140*E140</f>
        <v>0</v>
      </c>
      <c r="K140" s="8"/>
      <c r="L140" s="8"/>
      <c r="M140" s="8"/>
      <c r="N140" s="40"/>
    </row>
    <row r="141" spans="1:14">
      <c r="A141" s="9">
        <f t="shared" ref="A141:A147" si="4">+A140+1</f>
        <v>33</v>
      </c>
      <c r="C141" s="7" t="s">
        <v>232</v>
      </c>
      <c r="D141" s="8" t="s">
        <v>443</v>
      </c>
      <c r="E141" s="601">
        <v>0</v>
      </c>
      <c r="F141" s="8"/>
      <c r="G141" s="8" t="str">
        <f>+G140</f>
        <v>AGP</v>
      </c>
      <c r="H141" s="367">
        <f>+J215</f>
        <v>0</v>
      </c>
      <c r="I141" s="8"/>
      <c r="J141" s="233">
        <f t="shared" si="3"/>
        <v>0</v>
      </c>
      <c r="K141" s="8"/>
      <c r="L141" s="8"/>
      <c r="M141" s="8"/>
      <c r="N141" s="40"/>
    </row>
    <row r="142" spans="1:14">
      <c r="A142" s="9">
        <f t="shared" si="4"/>
        <v>34</v>
      </c>
      <c r="C142" s="7" t="s">
        <v>455</v>
      </c>
      <c r="D142" s="8" t="str">
        <f>" Line "&amp;A140&amp;"- Line "&amp;A141&amp;""</f>
        <v xml:space="preserve"> Line 32- Line 33</v>
      </c>
      <c r="E142" s="70">
        <f>+E140-E141</f>
        <v>0</v>
      </c>
      <c r="F142" s="8"/>
      <c r="G142" s="8"/>
      <c r="H142" s="367"/>
      <c r="I142" s="8"/>
      <c r="J142" s="91">
        <f>+J140-J141</f>
        <v>0</v>
      </c>
      <c r="K142" s="8"/>
      <c r="L142" s="8"/>
      <c r="M142" s="8"/>
      <c r="N142" s="40"/>
    </row>
    <row r="143" spans="1:14">
      <c r="A143" s="9">
        <f t="shared" si="4"/>
        <v>35</v>
      </c>
      <c r="C143" s="7" t="s">
        <v>498</v>
      </c>
      <c r="D143" s="8" t="s">
        <v>444</v>
      </c>
      <c r="E143" s="113">
        <v>0</v>
      </c>
      <c r="F143" s="8"/>
      <c r="G143" s="8" t="s">
        <v>47</v>
      </c>
      <c r="H143" s="367">
        <f>J232</f>
        <v>0</v>
      </c>
      <c r="I143" s="8"/>
      <c r="J143" s="91">
        <f t="shared" si="3"/>
        <v>0</v>
      </c>
      <c r="K143" s="8"/>
      <c r="L143" s="8"/>
      <c r="M143" s="8"/>
    </row>
    <row r="144" spans="1:14" ht="42" customHeight="1">
      <c r="A144" s="9">
        <f t="shared" si="4"/>
        <v>36</v>
      </c>
      <c r="C144" s="884" t="s">
        <v>672</v>
      </c>
      <c r="D144" s="610" t="str">
        <f>"Attachment 3, Line "&amp;'3 - Cost Support'!A71&amp;" + "&amp;'3 - Cost Support'!A81&amp;" + "&amp;'3 - Cost Support'!A98&amp;""</f>
        <v>Attachment 3, Line 37 + 38 + 40</v>
      </c>
      <c r="E144" s="935">
        <f>+'3 - Cost Support'!G71+'3 - Cost Support'!J71+'3 - Cost Support'!I81+'3 - Cost Support'!I98</f>
        <v>0</v>
      </c>
      <c r="F144" s="8"/>
      <c r="G144" s="8" t="s">
        <v>47</v>
      </c>
      <c r="H144" s="367">
        <f>+J$232</f>
        <v>0</v>
      </c>
      <c r="I144" s="8"/>
      <c r="J144" s="91">
        <f t="shared" si="3"/>
        <v>0</v>
      </c>
      <c r="K144" s="8"/>
      <c r="L144" s="8"/>
      <c r="M144" s="8"/>
    </row>
    <row r="145" spans="1:15" ht="42" customHeight="1">
      <c r="A145" s="9">
        <f t="shared" si="4"/>
        <v>37</v>
      </c>
      <c r="C145" s="600" t="s">
        <v>496</v>
      </c>
      <c r="D145" s="610" t="str">
        <f>"Attachment 3, Line "&amp;'3 - Cost Support'!A98&amp;""</f>
        <v>Attachment 3, Line 40</v>
      </c>
      <c r="E145" s="70">
        <f>+'3 - Cost Support'!H98</f>
        <v>0</v>
      </c>
      <c r="F145" s="8"/>
      <c r="G145" s="8" t="s">
        <v>47</v>
      </c>
      <c r="H145" s="367">
        <f>+J$232</f>
        <v>0</v>
      </c>
      <c r="I145" s="8"/>
      <c r="J145" s="91">
        <f t="shared" si="3"/>
        <v>0</v>
      </c>
      <c r="K145" s="428"/>
      <c r="L145" s="8"/>
      <c r="M145" s="8"/>
    </row>
    <row r="146" spans="1:15" ht="45.75" customHeight="1">
      <c r="A146" s="9">
        <f t="shared" si="4"/>
        <v>38</v>
      </c>
      <c r="C146" s="600" t="s">
        <v>497</v>
      </c>
      <c r="D146" s="610" t="str">
        <f>"Attachment 3, Line "&amp;'3 - Cost Support'!A81&amp;""</f>
        <v>Attachment 3, Line 38</v>
      </c>
      <c r="E146" s="70">
        <f>+'3 - Cost Support'!H81</f>
        <v>0</v>
      </c>
      <c r="F146" s="8"/>
      <c r="G146" s="41" t="s">
        <v>449</v>
      </c>
      <c r="H146" s="762">
        <f>+J215</f>
        <v>0</v>
      </c>
      <c r="I146" s="8"/>
      <c r="J146" s="91">
        <f>+E146*H146</f>
        <v>0</v>
      </c>
      <c r="K146" s="8"/>
      <c r="L146" s="8"/>
      <c r="M146" s="8"/>
    </row>
    <row r="147" spans="1:15">
      <c r="A147" s="9">
        <f t="shared" si="4"/>
        <v>39</v>
      </c>
      <c r="C147" s="602" t="s">
        <v>462</v>
      </c>
      <c r="D147" s="603" t="str">
        <f>"Lines "&amp;A142&amp;" + "&amp;A143&amp;" - "&amp;A144&amp;" + "&amp;A146&amp;""</f>
        <v>Lines 34 + 35 - 36 + 38</v>
      </c>
      <c r="E147" s="604">
        <f>+E142+E143-E144+E146</f>
        <v>0</v>
      </c>
      <c r="F147" s="603"/>
      <c r="G147" s="603"/>
      <c r="H147" s="603"/>
      <c r="I147" s="603"/>
      <c r="J147" s="604">
        <f>+J142+J143-J144+J146</f>
        <v>0</v>
      </c>
      <c r="K147" s="8"/>
      <c r="L147" s="8"/>
      <c r="M147" s="8"/>
    </row>
    <row r="148" spans="1:15">
      <c r="A148" s="9"/>
      <c r="D148" s="8"/>
      <c r="E148" s="91"/>
      <c r="F148" s="8"/>
      <c r="G148" s="8"/>
      <c r="H148" s="8"/>
      <c r="I148" s="8"/>
      <c r="J148" s="91"/>
      <c r="K148" s="8"/>
      <c r="L148" s="8"/>
      <c r="M148" s="8"/>
    </row>
    <row r="149" spans="1:15">
      <c r="A149" s="9"/>
      <c r="C149" s="7" t="s">
        <v>394</v>
      </c>
      <c r="D149" s="8"/>
      <c r="E149" s="103"/>
      <c r="F149" s="8"/>
      <c r="G149" s="8"/>
      <c r="H149" s="8"/>
      <c r="I149" s="8"/>
      <c r="J149" s="103"/>
      <c r="K149" s="8"/>
      <c r="L149" s="8"/>
      <c r="M149" s="8"/>
    </row>
    <row r="150" spans="1:15">
      <c r="A150" s="9">
        <f>+A147+1</f>
        <v>40</v>
      </c>
      <c r="C150" s="7" t="str">
        <f>+C140</f>
        <v xml:space="preserve">  Transmission </v>
      </c>
      <c r="D150" s="8" t="s">
        <v>515</v>
      </c>
      <c r="E150" s="763">
        <v>0</v>
      </c>
      <c r="F150" s="8"/>
      <c r="G150" s="938" t="s">
        <v>423</v>
      </c>
      <c r="H150" s="938"/>
      <c r="I150" s="8"/>
      <c r="J150" s="91">
        <f>+'9 - Workpaper'!D58</f>
        <v>0</v>
      </c>
      <c r="K150" s="8"/>
      <c r="L150" s="8"/>
      <c r="M150" s="8"/>
      <c r="N150" s="40"/>
    </row>
    <row r="151" spans="1:15">
      <c r="A151" s="9">
        <f>+A150+1</f>
        <v>41</v>
      </c>
      <c r="C151" s="229" t="s">
        <v>189</v>
      </c>
      <c r="D151" s="230" t="s">
        <v>440</v>
      </c>
      <c r="E151" s="601">
        <v>0</v>
      </c>
      <c r="F151" s="230"/>
      <c r="G151" s="230" t="s">
        <v>47</v>
      </c>
      <c r="H151" s="368">
        <f>+J232</f>
        <v>0</v>
      </c>
      <c r="I151" s="230"/>
      <c r="J151" s="233">
        <f>+H151*E151</f>
        <v>0</v>
      </c>
      <c r="K151" s="8"/>
      <c r="L151" s="8"/>
      <c r="M151" s="8"/>
      <c r="N151" s="23"/>
    </row>
    <row r="152" spans="1:15">
      <c r="A152" s="9">
        <f>+A151+1</f>
        <v>42</v>
      </c>
      <c r="C152" s="67" t="s">
        <v>463</v>
      </c>
      <c r="D152" s="603" t="str">
        <f>"Lines "&amp;A150&amp;" + "&amp;A151&amp;""</f>
        <v>Lines 40 + 41</v>
      </c>
      <c r="E152" s="103">
        <f>SUM(E150:E151)</f>
        <v>0</v>
      </c>
      <c r="F152" s="8"/>
      <c r="G152" s="8"/>
      <c r="H152" s="367"/>
      <c r="I152" s="8"/>
      <c r="J152" s="103">
        <f>SUM(J150:J151)</f>
        <v>0</v>
      </c>
      <c r="K152" s="8"/>
      <c r="L152" s="8"/>
      <c r="N152" s="8"/>
      <c r="O152" s="85"/>
    </row>
    <row r="153" spans="1:15">
      <c r="A153" s="9"/>
      <c r="C153" s="7"/>
      <c r="D153" s="8"/>
      <c r="E153" s="103"/>
      <c r="F153" s="8"/>
      <c r="G153" s="8"/>
      <c r="H153" s="367"/>
      <c r="I153" s="8"/>
      <c r="J153" s="103"/>
      <c r="K153" s="8"/>
      <c r="L153" s="8"/>
      <c r="N153" s="8"/>
    </row>
    <row r="154" spans="1:15">
      <c r="A154" s="9"/>
      <c r="C154" s="7" t="str">
        <f>"TAXES OTHER THAN INCOME TAXES  (Note "&amp;A276&amp;")"</f>
        <v>TAXES OTHER THAN INCOME TAXES  (Note E)</v>
      </c>
      <c r="D154" s="7"/>
      <c r="E154" s="103"/>
      <c r="F154" s="8"/>
      <c r="G154" s="8"/>
      <c r="H154" s="367"/>
      <c r="I154" s="8"/>
      <c r="J154" s="103"/>
      <c r="K154" s="8"/>
      <c r="L154" s="8"/>
      <c r="N154" s="8"/>
    </row>
    <row r="155" spans="1:15">
      <c r="A155" s="9">
        <f>+A152+1</f>
        <v>43</v>
      </c>
      <c r="C155" s="7" t="s">
        <v>58</v>
      </c>
      <c r="D155" s="7"/>
      <c r="E155" s="103"/>
      <c r="F155" s="8"/>
      <c r="G155" s="8"/>
      <c r="H155" s="367"/>
      <c r="I155" s="8"/>
      <c r="J155" s="103"/>
      <c r="K155" s="8"/>
      <c r="L155" s="8"/>
      <c r="N155" s="8"/>
    </row>
    <row r="156" spans="1:15">
      <c r="A156" s="9">
        <f t="shared" ref="A156:A161" si="5">+A155+1</f>
        <v>44</v>
      </c>
      <c r="C156" s="7" t="s">
        <v>59</v>
      </c>
      <c r="D156" s="763" t="s">
        <v>662</v>
      </c>
      <c r="E156" s="427">
        <v>0</v>
      </c>
      <c r="F156" s="8"/>
      <c r="G156" s="8" t="s">
        <v>47</v>
      </c>
      <c r="H156" s="367">
        <f>+J$232</f>
        <v>0</v>
      </c>
      <c r="I156" s="8"/>
      <c r="J156" s="91">
        <f>+H156*E156</f>
        <v>0</v>
      </c>
      <c r="K156" s="8"/>
      <c r="L156" s="8"/>
      <c r="N156" s="8"/>
    </row>
    <row r="157" spans="1:15">
      <c r="A157" s="9">
        <f t="shared" si="5"/>
        <v>45</v>
      </c>
      <c r="C157" s="7" t="s">
        <v>60</v>
      </c>
      <c r="D157" s="763" t="s">
        <v>661</v>
      </c>
      <c r="E157" s="113">
        <v>0</v>
      </c>
      <c r="F157" s="8"/>
      <c r="G157" s="8" t="str">
        <f>+G156</f>
        <v>W/S</v>
      </c>
      <c r="H157" s="367">
        <f>+J$232</f>
        <v>0</v>
      </c>
      <c r="I157" s="8"/>
      <c r="J157" s="91">
        <f>+H157*E157</f>
        <v>0</v>
      </c>
      <c r="K157" s="8"/>
      <c r="L157" s="8"/>
      <c r="N157" s="8"/>
    </row>
    <row r="158" spans="1:15">
      <c r="A158" s="9"/>
      <c r="C158" s="7" t="s">
        <v>61</v>
      </c>
      <c r="D158" s="763" t="s">
        <v>22</v>
      </c>
      <c r="E158" s="103"/>
      <c r="F158" s="8"/>
      <c r="G158" s="8"/>
      <c r="H158" s="367"/>
      <c r="I158" s="8"/>
      <c r="J158" s="103"/>
      <c r="K158" s="8"/>
      <c r="L158" s="8"/>
      <c r="N158" s="8"/>
    </row>
    <row r="159" spans="1:15">
      <c r="A159" s="9">
        <f>+A157+1</f>
        <v>46</v>
      </c>
      <c r="C159" s="7" t="s">
        <v>62</v>
      </c>
      <c r="D159" s="763" t="s">
        <v>663</v>
      </c>
      <c r="E159" s="427">
        <v>0</v>
      </c>
      <c r="F159" s="8"/>
      <c r="G159" s="8" t="s">
        <v>451</v>
      </c>
      <c r="H159" s="370">
        <f>J222</f>
        <v>0</v>
      </c>
      <c r="I159" s="8"/>
      <c r="J159" s="91">
        <f>+H159*E159</f>
        <v>0</v>
      </c>
      <c r="K159" s="8"/>
      <c r="L159" s="8"/>
      <c r="N159" s="8"/>
    </row>
    <row r="160" spans="1:15">
      <c r="A160" s="9">
        <f t="shared" si="5"/>
        <v>47</v>
      </c>
      <c r="C160" s="7" t="s">
        <v>63</v>
      </c>
      <c r="D160" s="763" t="s">
        <v>663</v>
      </c>
      <c r="E160" s="113">
        <v>0</v>
      </c>
      <c r="F160" s="8"/>
      <c r="G160" s="8" t="s">
        <v>44</v>
      </c>
      <c r="H160" s="241">
        <v>0</v>
      </c>
      <c r="I160" s="8"/>
      <c r="J160" s="91">
        <f>+H160*E160</f>
        <v>0</v>
      </c>
      <c r="K160" s="8"/>
      <c r="L160" s="605"/>
      <c r="N160" s="8"/>
    </row>
    <row r="161" spans="1:15">
      <c r="A161" s="9">
        <f t="shared" si="5"/>
        <v>48</v>
      </c>
      <c r="C161" s="229" t="s">
        <v>64</v>
      </c>
      <c r="D161" s="763" t="s">
        <v>664</v>
      </c>
      <c r="E161" s="601">
        <v>0</v>
      </c>
      <c r="F161" s="230"/>
      <c r="G161" s="230" t="str">
        <f>+G159</f>
        <v>AEP</v>
      </c>
      <c r="H161" s="371">
        <f>+J222</f>
        <v>0</v>
      </c>
      <c r="I161" s="230"/>
      <c r="J161" s="233">
        <f>+H161*E161</f>
        <v>0</v>
      </c>
      <c r="K161" s="8"/>
      <c r="L161" s="605"/>
      <c r="N161" s="8"/>
    </row>
    <row r="162" spans="1:15">
      <c r="A162" s="9">
        <f>+A161+1</f>
        <v>49</v>
      </c>
      <c r="C162" s="7" t="s">
        <v>464</v>
      </c>
      <c r="D162" s="8" t="str">
        <f>"Sum of Lines "&amp;A156&amp;" through "&amp;A161&amp;""</f>
        <v>Sum of Lines 44 through 48</v>
      </c>
      <c r="E162" s="103">
        <f>SUM(E156:E161)</f>
        <v>0</v>
      </c>
      <c r="F162" s="8"/>
      <c r="G162" s="8"/>
      <c r="H162" s="367"/>
      <c r="I162" s="8"/>
      <c r="J162" s="103">
        <f>SUM(J156:J161)</f>
        <v>0</v>
      </c>
      <c r="K162" s="8"/>
      <c r="L162" s="8"/>
      <c r="N162" s="8"/>
      <c r="O162" s="85"/>
    </row>
    <row r="163" spans="1:15">
      <c r="A163" s="9"/>
      <c r="C163" s="7"/>
      <c r="D163" s="8"/>
      <c r="E163" s="8"/>
      <c r="F163" s="8"/>
      <c r="G163" s="8"/>
      <c r="H163" s="367"/>
      <c r="I163" s="8"/>
      <c r="J163" s="103"/>
      <c r="K163" s="8"/>
      <c r="L163" s="8"/>
      <c r="N163" s="8"/>
    </row>
    <row r="164" spans="1:15">
      <c r="A164" s="9"/>
      <c r="C164" s="7" t="s">
        <v>501</v>
      </c>
      <c r="D164" s="8"/>
      <c r="E164" s="8"/>
      <c r="F164" s="8"/>
      <c r="H164" s="378"/>
      <c r="I164" s="8"/>
      <c r="J164" s="91"/>
      <c r="K164" s="8"/>
      <c r="L164" s="8"/>
      <c r="N164" s="8"/>
    </row>
    <row r="165" spans="1:15">
      <c r="A165" s="9">
        <f>+A162+1</f>
        <v>50</v>
      </c>
      <c r="C165" s="43" t="s">
        <v>504</v>
      </c>
      <c r="D165" s="8"/>
      <c r="E165" s="241">
        <f>IF(E283&gt;0,1-(((1-E284)*(1-E283))/(1-E284*E283*E285)),0)</f>
        <v>0</v>
      </c>
      <c r="F165" s="8"/>
      <c r="H165" s="42"/>
      <c r="I165" s="23"/>
      <c r="J165" s="592"/>
      <c r="K165" s="8"/>
      <c r="L165" s="8"/>
      <c r="N165" s="8"/>
    </row>
    <row r="166" spans="1:15">
      <c r="A166" s="9">
        <f t="shared" ref="A166:A170" si="6">+A165+1</f>
        <v>51</v>
      </c>
      <c r="C166" s="1" t="s">
        <v>65</v>
      </c>
      <c r="D166" s="8"/>
      <c r="E166" s="377">
        <f>IF(J241&gt;0,(E165/(1-E165))*(1-J238/J241),0)</f>
        <v>0</v>
      </c>
      <c r="F166" s="8"/>
      <c r="H166" s="42"/>
      <c r="I166" s="23"/>
      <c r="J166" s="592"/>
      <c r="K166" s="8"/>
      <c r="L166" s="8"/>
      <c r="N166" s="8"/>
    </row>
    <row r="167" spans="1:15">
      <c r="A167" s="9">
        <f t="shared" si="6"/>
        <v>52</v>
      </c>
      <c r="C167" s="7" t="str">
        <f>"       where WCLTD=(line "&amp;A238&amp;") and R= (line "&amp;A241&amp;")"</f>
        <v xml:space="preserve">       where WCLTD=(line 83) and R= (line 86)</v>
      </c>
      <c r="D167" s="8"/>
      <c r="E167" s="8"/>
      <c r="F167" s="8"/>
      <c r="H167" s="42"/>
      <c r="I167" s="23"/>
      <c r="J167" s="91"/>
      <c r="K167" s="8"/>
      <c r="L167" s="8"/>
      <c r="N167" s="8"/>
    </row>
    <row r="168" spans="1:15">
      <c r="A168" s="9">
        <f t="shared" si="6"/>
        <v>53</v>
      </c>
      <c r="C168" s="7" t="str">
        <f>"       and FIT, SIT, p, &amp; n are as given in footnote "&amp;A279&amp;"."</f>
        <v xml:space="preserve">       and FIT, SIT, p, &amp; n are as given in footnote F.</v>
      </c>
      <c r="D168" s="8"/>
      <c r="E168" s="8"/>
      <c r="F168" s="8"/>
      <c r="H168" s="42"/>
      <c r="I168" s="23"/>
      <c r="J168" s="91"/>
      <c r="K168" s="8"/>
      <c r="L168" s="8"/>
      <c r="N168" s="8"/>
    </row>
    <row r="169" spans="1:15">
      <c r="A169" s="9">
        <f t="shared" si="6"/>
        <v>54</v>
      </c>
      <c r="C169" s="43" t="str">
        <f>"      1 / (1 - T)  = (T from line "&amp;A165&amp;")"</f>
        <v xml:space="preserve">      1 / (1 - T)  = (T from line 50)</v>
      </c>
      <c r="D169" s="8"/>
      <c r="E169" s="241">
        <f>IF(E165&gt;0,1/(1-E165),0)</f>
        <v>0</v>
      </c>
      <c r="F169" s="8"/>
      <c r="H169" s="42"/>
      <c r="I169" s="23"/>
      <c r="J169" s="591"/>
      <c r="K169" s="8"/>
      <c r="L169" s="8"/>
      <c r="N169" s="8"/>
    </row>
    <row r="170" spans="1:15">
      <c r="A170" s="9">
        <f t="shared" si="6"/>
        <v>55</v>
      </c>
      <c r="C170" s="7" t="s">
        <v>492</v>
      </c>
      <c r="D170" s="610" t="str">
        <f>"Attachment 3, Line "&amp;'3 - Cost Support'!A8&amp;""</f>
        <v>Attachment 3, Line 1</v>
      </c>
      <c r="E170" s="70">
        <f>+'3 - Cost Support'!H8</f>
        <v>0</v>
      </c>
      <c r="F170" s="8"/>
      <c r="H170" s="42"/>
      <c r="I170" s="8"/>
      <c r="J170" s="91"/>
      <c r="K170" s="8"/>
      <c r="L170" s="8"/>
      <c r="N170" s="8"/>
    </row>
    <row r="171" spans="1:15">
      <c r="A171" s="9">
        <f>+A170+1</f>
        <v>56</v>
      </c>
      <c r="C171" s="43" t="s">
        <v>485</v>
      </c>
      <c r="D171" s="44" t="str">
        <f>"Line "&amp;A165&amp;" * Line "&amp;A176&amp;""</f>
        <v>Line 50 * Line 59</v>
      </c>
      <c r="E171" s="103">
        <f>+E166*E176</f>
        <v>0</v>
      </c>
      <c r="F171" s="8"/>
      <c r="G171" s="8"/>
      <c r="H171" s="15"/>
      <c r="I171" s="8"/>
      <c r="J171" s="103">
        <f>+J166*J176</f>
        <v>0</v>
      </c>
      <c r="K171" s="8"/>
      <c r="L171" s="8"/>
      <c r="N171" s="8"/>
    </row>
    <row r="172" spans="1:15">
      <c r="A172" s="9">
        <f>+A171+1</f>
        <v>57</v>
      </c>
      <c r="C172" s="234" t="s">
        <v>486</v>
      </c>
      <c r="D172" s="235" t="str">
        <f>"Line "&amp;A169&amp;" * Line "&amp;A170&amp;""</f>
        <v>Line 54 * Line 55</v>
      </c>
      <c r="E172" s="232">
        <f>+E169*E170</f>
        <v>0</v>
      </c>
      <c r="F172" s="230"/>
      <c r="G172" s="234" t="s">
        <v>51</v>
      </c>
      <c r="H172" s="371">
        <f>+H$96</f>
        <v>0</v>
      </c>
      <c r="I172" s="230"/>
      <c r="J172" s="232">
        <f>+E172*H172</f>
        <v>0</v>
      </c>
      <c r="K172" s="8"/>
      <c r="L172" s="8"/>
      <c r="N172" s="8"/>
    </row>
    <row r="173" spans="1:15">
      <c r="A173" s="9">
        <f>+A172+1</f>
        <v>58</v>
      </c>
      <c r="C173" s="45" t="s">
        <v>465</v>
      </c>
      <c r="D173" s="1" t="str">
        <f>"Line "&amp;A171&amp;" + Line "&amp;A172&amp;""</f>
        <v>Line 56 + Line 57</v>
      </c>
      <c r="E173" s="386">
        <f>+E171+E172</f>
        <v>0</v>
      </c>
      <c r="F173" s="8"/>
      <c r="G173" s="8" t="s">
        <v>22</v>
      </c>
      <c r="H173" s="15" t="s">
        <v>22</v>
      </c>
      <c r="I173" s="8"/>
      <c r="J173" s="386">
        <f>+J171+J172</f>
        <v>0</v>
      </c>
      <c r="K173" s="8"/>
      <c r="L173" s="47"/>
      <c r="N173" s="8"/>
    </row>
    <row r="174" spans="1:15">
      <c r="A174" s="9"/>
      <c r="D174" s="47"/>
      <c r="E174" s="103"/>
      <c r="F174" s="8"/>
      <c r="G174" s="8"/>
      <c r="H174" s="15"/>
      <c r="I174" s="8"/>
      <c r="J174" s="103"/>
      <c r="K174" s="8"/>
      <c r="L174" s="47"/>
      <c r="N174" s="8"/>
    </row>
    <row r="175" spans="1:15">
      <c r="A175" s="9"/>
      <c r="C175" s="7" t="s">
        <v>66</v>
      </c>
      <c r="D175" s="35"/>
      <c r="E175" s="91"/>
      <c r="H175" s="42"/>
      <c r="I175" s="8"/>
      <c r="K175" s="8"/>
      <c r="L175" s="47"/>
      <c r="N175" s="8"/>
    </row>
    <row r="176" spans="1:15">
      <c r="A176" s="9">
        <f>+A173+1</f>
        <v>59</v>
      </c>
      <c r="C176" s="45" t="s">
        <v>487</v>
      </c>
      <c r="D176" s="7" t="str">
        <f>"Line "&amp;A113&amp;" * Line "&amp;A241&amp;""</f>
        <v>Line 31 * Line 86</v>
      </c>
      <c r="E176" s="232">
        <f>+E113*J241</f>
        <v>0</v>
      </c>
      <c r="F176" s="8"/>
      <c r="G176" s="8"/>
      <c r="H176" s="42"/>
      <c r="I176" s="8"/>
      <c r="J176" s="232">
        <f>+J113*J241</f>
        <v>0</v>
      </c>
      <c r="K176" s="8"/>
      <c r="L176" s="47"/>
      <c r="N176" s="8"/>
    </row>
    <row r="177" spans="1:17">
      <c r="A177" s="9"/>
      <c r="C177" s="7"/>
      <c r="D177" s="7"/>
      <c r="E177" s="417"/>
      <c r="F177" s="8"/>
      <c r="G177" s="8"/>
      <c r="H177" s="42"/>
      <c r="I177" s="8"/>
      <c r="J177" s="407"/>
      <c r="K177" s="8"/>
      <c r="L177" s="47"/>
      <c r="M177" s="8"/>
      <c r="N177" s="23"/>
    </row>
    <row r="178" spans="1:17" ht="15.75" thickBot="1">
      <c r="A178" s="9">
        <f>+A176+1</f>
        <v>60</v>
      </c>
      <c r="C178" s="7" t="s">
        <v>468</v>
      </c>
      <c r="D178" s="8"/>
      <c r="E178" s="104">
        <f>+E147+E152+E162+E173+E176</f>
        <v>0</v>
      </c>
      <c r="F178" s="8"/>
      <c r="G178" s="8"/>
      <c r="H178" s="8"/>
      <c r="I178" s="8"/>
      <c r="J178" s="104">
        <f>+J147+J152+J162+J173+J176</f>
        <v>0</v>
      </c>
      <c r="K178" s="8"/>
      <c r="L178" s="242"/>
      <c r="M178" s="8"/>
    </row>
    <row r="179" spans="1:17" ht="15.75" thickTop="1">
      <c r="A179" s="9"/>
      <c r="C179" s="48"/>
      <c r="D179" s="48"/>
      <c r="E179" s="48"/>
      <c r="F179" s="48"/>
      <c r="G179" s="48"/>
      <c r="H179" s="48"/>
      <c r="I179" s="48"/>
      <c r="J179" s="48"/>
      <c r="K179" s="48"/>
      <c r="L179" s="48"/>
      <c r="M179" s="48"/>
      <c r="N179" s="48"/>
      <c r="O179" s="48"/>
      <c r="P179" s="48"/>
      <c r="Q179" s="48"/>
    </row>
    <row r="180" spans="1:17">
      <c r="A180" s="9"/>
      <c r="C180" s="7"/>
      <c r="D180" s="48"/>
      <c r="E180" s="48"/>
      <c r="F180" s="48"/>
      <c r="G180" s="48"/>
      <c r="H180" s="48"/>
      <c r="I180" s="48"/>
      <c r="J180" s="48"/>
      <c r="K180" s="48"/>
      <c r="L180" s="48"/>
      <c r="M180" s="48"/>
      <c r="N180" s="48"/>
      <c r="O180" s="48"/>
      <c r="P180" s="48"/>
      <c r="Q180" s="48"/>
    </row>
    <row r="181" spans="1:17">
      <c r="A181" s="9"/>
      <c r="C181" s="67"/>
      <c r="D181" s="48"/>
      <c r="E181" s="48"/>
      <c r="F181" s="48"/>
      <c r="G181" s="48"/>
      <c r="H181" s="48"/>
      <c r="I181" s="48"/>
      <c r="J181" s="48"/>
      <c r="K181" s="48"/>
      <c r="L181" s="48"/>
      <c r="M181" s="48"/>
      <c r="N181" s="48"/>
      <c r="O181" s="48"/>
      <c r="P181" s="48"/>
      <c r="Q181" s="48"/>
    </row>
    <row r="182" spans="1:17">
      <c r="A182" s="9"/>
      <c r="C182" s="68"/>
      <c r="D182" s="48"/>
      <c r="E182" s="48"/>
      <c r="F182" s="48"/>
      <c r="G182" s="48"/>
      <c r="H182" s="48"/>
      <c r="I182" s="48"/>
      <c r="J182" s="48"/>
      <c r="K182" s="48"/>
      <c r="L182" s="48"/>
      <c r="M182" s="48"/>
      <c r="N182" s="48"/>
      <c r="O182" s="48"/>
      <c r="P182" s="48"/>
      <c r="Q182" s="48"/>
    </row>
    <row r="183" spans="1:17">
      <c r="A183" s="9"/>
      <c r="C183" s="68"/>
      <c r="D183" s="48"/>
      <c r="E183" s="48"/>
      <c r="F183" s="48"/>
      <c r="G183" s="48"/>
      <c r="H183" s="48"/>
      <c r="I183" s="48"/>
      <c r="J183" s="48"/>
      <c r="K183" s="48"/>
      <c r="L183" s="48"/>
      <c r="M183" s="48"/>
      <c r="N183" s="48"/>
      <c r="O183" s="48"/>
      <c r="P183" s="48"/>
      <c r="Q183" s="48"/>
    </row>
    <row r="184" spans="1:17">
      <c r="A184" s="9"/>
      <c r="C184" s="68"/>
      <c r="D184" s="48"/>
      <c r="E184" s="48"/>
      <c r="F184" s="48"/>
      <c r="G184" s="48"/>
      <c r="H184" s="48"/>
      <c r="I184" s="48"/>
      <c r="J184" s="48"/>
      <c r="K184" s="48"/>
      <c r="L184" s="48"/>
      <c r="M184" s="48"/>
      <c r="N184" s="48"/>
      <c r="O184" s="48"/>
      <c r="P184" s="48"/>
      <c r="Q184" s="48"/>
    </row>
    <row r="185" spans="1:17">
      <c r="A185" s="9"/>
      <c r="C185" s="65"/>
      <c r="D185" s="48"/>
      <c r="E185" s="48"/>
      <c r="F185" s="48"/>
      <c r="G185" s="48"/>
      <c r="H185" s="48"/>
      <c r="I185" s="48"/>
      <c r="J185" s="48"/>
      <c r="K185" s="48"/>
      <c r="L185" s="48"/>
      <c r="M185" s="48"/>
      <c r="N185" s="48"/>
      <c r="O185" s="48"/>
      <c r="P185" s="48"/>
      <c r="Q185" s="48"/>
    </row>
    <row r="186" spans="1:17">
      <c r="A186" s="9"/>
      <c r="C186" s="65"/>
      <c r="D186" s="48"/>
      <c r="E186" s="48"/>
      <c r="F186" s="48"/>
      <c r="G186" s="48"/>
      <c r="H186" s="48"/>
      <c r="I186" s="48"/>
      <c r="J186" s="48"/>
      <c r="K186" s="48"/>
      <c r="L186" s="48"/>
      <c r="M186" s="48"/>
      <c r="N186" s="48"/>
      <c r="O186" s="48"/>
      <c r="P186" s="48"/>
      <c r="Q186" s="48"/>
    </row>
    <row r="187" spans="1:17">
      <c r="A187" s="9"/>
      <c r="C187" s="49"/>
      <c r="D187" s="48"/>
      <c r="E187" s="48"/>
      <c r="F187" s="48"/>
      <c r="G187" s="48"/>
      <c r="H187" s="48"/>
      <c r="I187" s="48"/>
      <c r="J187" s="48"/>
      <c r="K187" s="48"/>
      <c r="L187" s="48"/>
      <c r="M187" s="48"/>
      <c r="N187" s="48"/>
      <c r="O187" s="48"/>
      <c r="P187" s="48"/>
      <c r="Q187" s="48"/>
    </row>
    <row r="188" spans="1:17">
      <c r="A188" s="9"/>
      <c r="C188" s="67"/>
      <c r="D188" s="48"/>
      <c r="E188" s="48"/>
      <c r="F188" s="48"/>
      <c r="G188" s="48"/>
      <c r="H188" s="48"/>
      <c r="I188" s="48"/>
      <c r="J188" s="48"/>
      <c r="K188" s="48"/>
      <c r="L188" s="48"/>
      <c r="M188" s="48"/>
      <c r="N188" s="48"/>
      <c r="O188" s="48"/>
      <c r="P188" s="48"/>
      <c r="Q188" s="48"/>
    </row>
    <row r="189" spans="1:17">
      <c r="A189" s="9"/>
      <c r="C189" s="65"/>
      <c r="D189" s="48"/>
      <c r="E189" s="48"/>
      <c r="F189" s="48"/>
      <c r="G189" s="48"/>
      <c r="H189" s="48"/>
      <c r="I189" s="48"/>
      <c r="J189" s="48"/>
      <c r="K189" s="48"/>
      <c r="L189" s="48"/>
      <c r="M189" s="48"/>
      <c r="N189" s="48"/>
      <c r="O189" s="48"/>
      <c r="P189" s="48"/>
      <c r="Q189" s="48"/>
    </row>
    <row r="190" spans="1:17">
      <c r="A190" s="9"/>
      <c r="C190" s="7"/>
      <c r="D190" s="48"/>
      <c r="E190" s="48"/>
      <c r="F190" s="48"/>
      <c r="G190" s="48"/>
      <c r="H190" s="48"/>
      <c r="I190" s="48"/>
      <c r="J190" s="48"/>
      <c r="K190" s="48"/>
      <c r="L190" s="48"/>
      <c r="M190" s="48"/>
      <c r="N190" s="48"/>
      <c r="O190" s="48"/>
      <c r="P190" s="48"/>
      <c r="Q190" s="48"/>
    </row>
    <row r="191" spans="1:17">
      <c r="A191" s="9"/>
      <c r="C191" s="2"/>
      <c r="D191" s="2"/>
      <c r="E191" s="3"/>
      <c r="F191" s="2"/>
      <c r="G191" s="2"/>
      <c r="H191" s="2"/>
      <c r="I191" s="2"/>
      <c r="J191" s="2"/>
      <c r="K191" s="4"/>
      <c r="L191" s="4"/>
      <c r="M191" s="5"/>
    </row>
    <row r="192" spans="1:17">
      <c r="A192" s="9"/>
      <c r="C192" s="2"/>
      <c r="D192" s="2"/>
      <c r="E192" s="3"/>
      <c r="F192" s="2"/>
      <c r="G192" s="2"/>
      <c r="H192" s="2"/>
      <c r="I192" s="2"/>
      <c r="J192" s="5"/>
      <c r="K192" s="5"/>
      <c r="L192" s="5"/>
      <c r="M192" s="5" t="s">
        <v>279</v>
      </c>
    </row>
    <row r="193" spans="1:13">
      <c r="A193" s="9"/>
      <c r="C193" s="2"/>
      <c r="D193" s="2"/>
      <c r="E193" s="3"/>
      <c r="F193" s="2"/>
      <c r="G193" s="2"/>
      <c r="H193" s="2"/>
      <c r="I193" s="2"/>
      <c r="J193" s="6"/>
      <c r="K193" s="6"/>
      <c r="L193" s="6"/>
      <c r="M193" s="6" t="s">
        <v>282</v>
      </c>
    </row>
    <row r="194" spans="1:13">
      <c r="A194" s="9"/>
      <c r="C194" s="2"/>
      <c r="D194" s="2"/>
      <c r="E194" s="3"/>
      <c r="F194" s="2"/>
      <c r="G194" s="2"/>
      <c r="H194" s="2"/>
      <c r="I194" s="2"/>
      <c r="J194" s="2"/>
      <c r="K194" s="7"/>
      <c r="L194" s="6"/>
      <c r="M194" s="6"/>
    </row>
    <row r="195" spans="1:13">
      <c r="A195" s="9"/>
      <c r="C195" s="2"/>
      <c r="D195" s="2"/>
      <c r="E195" s="3"/>
      <c r="F195" s="2"/>
      <c r="G195" s="2"/>
      <c r="H195" s="2"/>
      <c r="I195" s="2"/>
      <c r="J195" s="2"/>
      <c r="K195" s="7"/>
      <c r="L195" s="6"/>
    </row>
    <row r="196" spans="1:13">
      <c r="A196" s="9"/>
      <c r="C196" s="2" t="s">
        <v>21</v>
      </c>
      <c r="D196" s="69"/>
      <c r="E196" s="4" t="s">
        <v>108</v>
      </c>
      <c r="F196" s="2"/>
      <c r="G196" s="2"/>
      <c r="H196" s="2"/>
      <c r="I196" s="2"/>
      <c r="K196" s="7"/>
      <c r="L196" s="7"/>
    </row>
    <row r="197" spans="1:13">
      <c r="A197" s="9"/>
      <c r="C197" s="2"/>
      <c r="D197" s="8"/>
      <c r="E197" s="51" t="s">
        <v>23</v>
      </c>
      <c r="F197" s="8"/>
      <c r="G197" s="8"/>
      <c r="H197" s="8"/>
      <c r="I197" s="2"/>
      <c r="J197" s="2"/>
      <c r="K197" s="7"/>
      <c r="L197" s="7"/>
    </row>
    <row r="198" spans="1:13">
      <c r="A198" s="9"/>
      <c r="C198" s="7"/>
      <c r="D198" s="7"/>
      <c r="E198" s="7"/>
      <c r="F198" s="7"/>
      <c r="G198" s="7"/>
      <c r="H198" s="7"/>
      <c r="I198" s="7"/>
      <c r="J198" s="7"/>
      <c r="K198" s="181"/>
      <c r="L198" s="182"/>
      <c r="M198" s="180" t="str">
        <f>+M132</f>
        <v>For the 12 months ended 5/31/XX</v>
      </c>
    </row>
    <row r="199" spans="1:13" ht="15.75">
      <c r="A199" s="9"/>
      <c r="D199" s="7"/>
      <c r="E199" s="30" t="str">
        <f>D9</f>
        <v>HURLEY AVENUE PROJECT - SYSTEM DELIVERABILITY UPGRADE</v>
      </c>
      <c r="F199" s="7"/>
      <c r="G199" s="7"/>
      <c r="H199" s="7"/>
      <c r="I199" s="7"/>
      <c r="J199" s="7"/>
      <c r="K199" s="8"/>
      <c r="M199" s="237"/>
    </row>
    <row r="200" spans="1:13" ht="15.75">
      <c r="A200" s="9"/>
      <c r="C200" s="7"/>
      <c r="E200" s="30" t="s">
        <v>211</v>
      </c>
      <c r="F200" s="7"/>
      <c r="G200" s="7"/>
      <c r="H200" s="7"/>
      <c r="I200" s="7"/>
      <c r="J200" s="7"/>
      <c r="K200" s="8"/>
      <c r="L200" s="8"/>
    </row>
    <row r="201" spans="1:13" ht="15.75">
      <c r="A201" s="9"/>
      <c r="C201" s="33"/>
      <c r="D201" s="7"/>
      <c r="E201" s="7"/>
      <c r="F201" s="7"/>
      <c r="G201" s="7"/>
      <c r="H201" s="7"/>
      <c r="I201" s="7"/>
      <c r="J201" s="7"/>
      <c r="K201" s="8"/>
      <c r="L201" s="8"/>
    </row>
    <row r="202" spans="1:13" ht="18.75" customHeight="1">
      <c r="A202" s="9">
        <f>+A178+1</f>
        <v>61</v>
      </c>
      <c r="C202" s="2" t="s">
        <v>212</v>
      </c>
      <c r="D202" s="7"/>
      <c r="E202" s="7"/>
      <c r="F202" s="7"/>
      <c r="G202" s="7"/>
      <c r="H202" s="7"/>
      <c r="J202" s="50"/>
      <c r="K202" s="46"/>
      <c r="L202" s="46"/>
      <c r="M202" s="50"/>
    </row>
    <row r="203" spans="1:13">
      <c r="A203" s="9">
        <f>+A202+1</f>
        <v>62</v>
      </c>
      <c r="C203" s="2" t="s">
        <v>469</v>
      </c>
      <c r="D203" s="8" t="str">
        <f>" Line "&amp;A79&amp;""</f>
        <v xml:space="preserve"> Line 7</v>
      </c>
      <c r="F203" s="8"/>
      <c r="G203" s="8"/>
      <c r="H203" s="8"/>
      <c r="I203" s="8"/>
      <c r="J203" s="369">
        <f>+E79</f>
        <v>0</v>
      </c>
      <c r="K203" s="8"/>
      <c r="L203" s="8"/>
      <c r="M203" s="8"/>
    </row>
    <row r="204" spans="1:13" ht="30">
      <c r="A204" s="9">
        <f>+A203+1</f>
        <v>63</v>
      </c>
      <c r="C204" s="615" t="s">
        <v>471</v>
      </c>
      <c r="D204" s="610" t="str">
        <f>"Attachment 3, Line "&amp;'3 - Cost Support'!A110&amp;""</f>
        <v>Attachment 3, Line 41</v>
      </c>
      <c r="F204" s="7"/>
      <c r="G204" s="7"/>
      <c r="H204" s="7"/>
      <c r="I204" s="7"/>
      <c r="J204" s="70">
        <f>+'3 - Cost Support'!G110</f>
        <v>0</v>
      </c>
      <c r="K204" s="8"/>
    </row>
    <row r="205" spans="1:13" ht="30">
      <c r="A205" s="9">
        <f>+A204+1</f>
        <v>64</v>
      </c>
      <c r="C205" s="616" t="s">
        <v>472</v>
      </c>
      <c r="D205" s="612" t="str">
        <f>"Attachment 3, Line "&amp;'3 - Cost Support'!A110&amp;""</f>
        <v>Attachment 3, Line 41</v>
      </c>
      <c r="F205" s="230"/>
      <c r="G205" s="230"/>
      <c r="H205" s="613"/>
      <c r="I205" s="230"/>
      <c r="J205" s="231">
        <f>+'3 - Cost Support'!H110</f>
        <v>0</v>
      </c>
      <c r="K205" s="8"/>
    </row>
    <row r="206" spans="1:13">
      <c r="A206" s="9">
        <f>+A205+1</f>
        <v>65</v>
      </c>
      <c r="C206" s="2" t="s">
        <v>470</v>
      </c>
      <c r="D206" s="614" t="str">
        <f>" Line "&amp;A203&amp;" - Lines "&amp;A204&amp;" &amp; "&amp;A205&amp;""</f>
        <v xml:space="preserve"> Line 62 - Lines 63 &amp; 64</v>
      </c>
      <c r="F206" s="8"/>
      <c r="G206" s="8"/>
      <c r="H206" s="51"/>
      <c r="I206" s="8"/>
      <c r="J206" s="70">
        <f>SUM(J203:J205)</f>
        <v>0</v>
      </c>
      <c r="K206" s="8"/>
    </row>
    <row r="207" spans="1:13">
      <c r="A207" s="9"/>
      <c r="C207" s="7"/>
      <c r="D207" s="8"/>
      <c r="F207" s="8"/>
      <c r="G207" s="8"/>
      <c r="H207" s="51"/>
      <c r="I207" s="8"/>
      <c r="K207" s="8"/>
    </row>
    <row r="208" spans="1:13" ht="30">
      <c r="A208" s="9">
        <f>+A206+1</f>
        <v>66</v>
      </c>
      <c r="C208" s="615" t="s">
        <v>476</v>
      </c>
      <c r="D208" s="8" t="str">
        <f>" Line "&amp;A206&amp;" / "&amp;A203&amp;""</f>
        <v xml:space="preserve"> Line 65 / 62</v>
      </c>
      <c r="F208" s="11"/>
      <c r="G208" s="11"/>
      <c r="H208" s="26"/>
      <c r="I208" s="8" t="s">
        <v>68</v>
      </c>
      <c r="J208" s="617">
        <f>IF(J203=0,1,J206/J203)</f>
        <v>1</v>
      </c>
      <c r="K208" s="36"/>
    </row>
    <row r="209" spans="1:13">
      <c r="A209" s="9"/>
      <c r="K209" s="8"/>
    </row>
    <row r="210" spans="1:13" ht="30">
      <c r="A210" s="9">
        <f>+A208+1</f>
        <v>67</v>
      </c>
      <c r="C210" s="615" t="s">
        <v>488</v>
      </c>
      <c r="D210" s="7"/>
      <c r="F210" s="7"/>
      <c r="G210" s="7"/>
      <c r="H210" s="7"/>
      <c r="J210" s="50"/>
      <c r="K210" s="46"/>
      <c r="L210" s="46"/>
      <c r="M210" s="50"/>
    </row>
    <row r="211" spans="1:13">
      <c r="A211" s="9">
        <f>+A210+1</f>
        <v>68</v>
      </c>
      <c r="C211" s="2" t="s">
        <v>479</v>
      </c>
      <c r="D211" s="8" t="str">
        <f>" Line "&amp;A206&amp;""</f>
        <v xml:space="preserve"> Line 65</v>
      </c>
      <c r="F211" s="8"/>
      <c r="G211" s="8"/>
      <c r="H211" s="8"/>
      <c r="I211" s="8"/>
      <c r="J211" s="70">
        <f>+J206</f>
        <v>0</v>
      </c>
      <c r="K211" s="8"/>
      <c r="L211" s="8"/>
      <c r="M211" s="8"/>
    </row>
    <row r="212" spans="1:13" ht="30">
      <c r="A212" s="9">
        <f>+A211+1</f>
        <v>69</v>
      </c>
      <c r="C212" s="615" t="s">
        <v>473</v>
      </c>
      <c r="D212" s="610" t="str">
        <f>"Attachment 9, Line "&amp;'9 - Workpaper'!A42&amp;""</f>
        <v>Attachment 9, Line 24</v>
      </c>
      <c r="F212" s="8"/>
      <c r="G212" s="8"/>
      <c r="H212" s="8"/>
      <c r="I212" s="8"/>
      <c r="J212" s="231">
        <f>+'9 - Workpaper'!O42</f>
        <v>0</v>
      </c>
      <c r="K212" s="8"/>
      <c r="L212" s="8"/>
      <c r="M212" s="8"/>
    </row>
    <row r="213" spans="1:13">
      <c r="A213" s="9">
        <f>+A212+1</f>
        <v>70</v>
      </c>
      <c r="C213" s="611" t="s">
        <v>446</v>
      </c>
      <c r="D213" s="622" t="str">
        <f>" Line "&amp;A211&amp;" + Line "&amp;A212&amp;""</f>
        <v xml:space="preserve"> Line 68 + Line 69</v>
      </c>
      <c r="F213" s="230"/>
      <c r="G213" s="230"/>
      <c r="H213" s="613"/>
      <c r="I213" s="230"/>
      <c r="J213" s="231">
        <f>SUM(J211:J212)</f>
        <v>0</v>
      </c>
      <c r="K213" s="8"/>
    </row>
    <row r="214" spans="1:13">
      <c r="A214" s="9">
        <f t="shared" ref="A214:A215" si="7">+A213+1</f>
        <v>71</v>
      </c>
      <c r="C214" s="2" t="s">
        <v>477</v>
      </c>
      <c r="D214" s="8" t="str">
        <f>" Line "&amp;A79&amp;""</f>
        <v xml:space="preserve"> Line 7</v>
      </c>
      <c r="F214" s="8"/>
      <c r="G214" s="8"/>
      <c r="H214" s="51"/>
      <c r="I214" s="8"/>
      <c r="J214" s="100">
        <f>E79</f>
        <v>0</v>
      </c>
      <c r="K214" s="8"/>
    </row>
    <row r="215" spans="1:13">
      <c r="A215" s="9">
        <f t="shared" si="7"/>
        <v>72</v>
      </c>
      <c r="C215" s="615" t="s">
        <v>478</v>
      </c>
      <c r="D215" s="8" t="str">
        <f>" Line "&amp;A213&amp;" / "&amp;A214&amp;""</f>
        <v xml:space="preserve"> Line 70 / 71</v>
      </c>
      <c r="F215" s="11"/>
      <c r="G215" s="11"/>
      <c r="H215" s="26"/>
      <c r="I215" s="8" t="s">
        <v>448</v>
      </c>
      <c r="J215" s="241">
        <f>IF(J214=0,0,J213/J214)</f>
        <v>0</v>
      </c>
      <c r="K215" s="36"/>
    </row>
    <row r="216" spans="1:13">
      <c r="A216" s="9"/>
      <c r="C216" s="2"/>
      <c r="D216" s="11"/>
      <c r="F216" s="11"/>
      <c r="G216" s="11"/>
      <c r="H216" s="26"/>
      <c r="I216" s="8"/>
      <c r="J216" s="241"/>
      <c r="K216" s="36"/>
    </row>
    <row r="217" spans="1:13">
      <c r="A217" s="9"/>
      <c r="C217" s="2" t="s">
        <v>489</v>
      </c>
      <c r="D217" s="7"/>
      <c r="F217" s="7"/>
      <c r="G217" s="7"/>
      <c r="H217" s="7"/>
      <c r="J217" s="50"/>
      <c r="K217" s="36"/>
    </row>
    <row r="218" spans="1:13">
      <c r="A218" s="9">
        <f>+A215+1</f>
        <v>73</v>
      </c>
      <c r="C218" s="2" t="s">
        <v>479</v>
      </c>
      <c r="D218" s="8" t="str">
        <f>" Line "&amp;A206&amp;""</f>
        <v xml:space="preserve"> Line 65</v>
      </c>
      <c r="F218" s="8"/>
      <c r="G218" s="8"/>
      <c r="H218" s="8"/>
      <c r="I218" s="8"/>
      <c r="J218" s="369">
        <f>J211</f>
        <v>0</v>
      </c>
      <c r="K218" s="36"/>
    </row>
    <row r="219" spans="1:13" ht="30.75" customHeight="1">
      <c r="A219" s="9">
        <f>+A218+1</f>
        <v>74</v>
      </c>
      <c r="C219" s="615" t="s">
        <v>445</v>
      </c>
      <c r="D219" s="8" t="str">
        <f>" Line "&amp;A212&amp;""</f>
        <v xml:space="preserve"> Line 69</v>
      </c>
      <c r="F219" s="8"/>
      <c r="G219" s="8"/>
      <c r="H219" s="8"/>
      <c r="I219" s="8"/>
      <c r="J219" s="594">
        <f>+J212</f>
        <v>0</v>
      </c>
      <c r="K219" s="36"/>
    </row>
    <row r="220" spans="1:13">
      <c r="A220" s="9">
        <f>+A219+1</f>
        <v>75</v>
      </c>
      <c r="C220" s="611" t="s">
        <v>446</v>
      </c>
      <c r="D220" s="622" t="str">
        <f>" Line "&amp;A218&amp;" + Line "&amp;A219&amp;""</f>
        <v xml:space="preserve"> Line 73 + Line 74</v>
      </c>
      <c r="F220" s="230"/>
      <c r="G220" s="230"/>
      <c r="H220" s="613"/>
      <c r="I220" s="230"/>
      <c r="J220" s="594">
        <f>SUM(J218:J219)</f>
        <v>0</v>
      </c>
      <c r="K220" s="36"/>
    </row>
    <row r="221" spans="1:13">
      <c r="A221" s="9">
        <f>+A220+1</f>
        <v>76</v>
      </c>
      <c r="C221" s="7" t="s">
        <v>447</v>
      </c>
      <c r="D221" s="8" t="str">
        <f>" Line "&amp;A82&amp;""</f>
        <v xml:space="preserve"> Line 10</v>
      </c>
      <c r="F221" s="8"/>
      <c r="G221" s="8"/>
      <c r="H221" s="51"/>
      <c r="I221" s="8"/>
      <c r="J221" s="100">
        <f>E82</f>
        <v>0</v>
      </c>
      <c r="K221" s="36"/>
    </row>
    <row r="222" spans="1:13">
      <c r="A222" s="9">
        <f>+A221+1</f>
        <v>77</v>
      </c>
      <c r="C222" s="615" t="s">
        <v>480</v>
      </c>
      <c r="D222" s="8" t="str">
        <f>" Line "&amp;A220&amp;" / "&amp;A221&amp;""</f>
        <v xml:space="preserve"> Line 75 / 76</v>
      </c>
      <c r="F222" s="11"/>
      <c r="G222" s="11"/>
      <c r="H222" s="26"/>
      <c r="I222" s="8" t="s">
        <v>450</v>
      </c>
      <c r="J222" s="241">
        <f>IF(J221=0,0,J220/J221)</f>
        <v>0</v>
      </c>
      <c r="K222" s="8"/>
    </row>
    <row r="223" spans="1:13">
      <c r="A223" s="9"/>
      <c r="C223" s="2"/>
      <c r="D223" s="11"/>
      <c r="F223" s="11"/>
      <c r="G223" s="11"/>
      <c r="H223" s="26"/>
      <c r="I223" s="8"/>
      <c r="J223" s="241"/>
      <c r="K223" s="8"/>
    </row>
    <row r="224" spans="1:13">
      <c r="A224" s="9"/>
      <c r="K224" s="8"/>
      <c r="L224" s="8"/>
      <c r="M224" s="23"/>
    </row>
    <row r="225" spans="1:14">
      <c r="A225" s="9"/>
      <c r="K225" s="51"/>
      <c r="L225" s="51"/>
      <c r="M225" s="23"/>
    </row>
    <row r="226" spans="1:14">
      <c r="A226" s="9"/>
      <c r="C226" s="7" t="s">
        <v>507</v>
      </c>
      <c r="D226" s="8"/>
      <c r="F226" s="8"/>
      <c r="G226" s="8"/>
      <c r="H226" s="8"/>
      <c r="I226" s="46"/>
      <c r="J226" s="23"/>
      <c r="K226" s="8"/>
      <c r="L226" s="82"/>
      <c r="M226" s="79"/>
    </row>
    <row r="227" spans="1:14" ht="15.75" thickBot="1">
      <c r="A227" s="9"/>
      <c r="C227" s="7"/>
      <c r="D227" s="17" t="s">
        <v>69</v>
      </c>
      <c r="E227" s="52" t="s">
        <v>70</v>
      </c>
      <c r="F227" s="52" t="s">
        <v>449</v>
      </c>
      <c r="G227" s="8"/>
      <c r="H227" s="52" t="s">
        <v>71</v>
      </c>
      <c r="I227" s="8"/>
      <c r="K227" s="8"/>
      <c r="L227" s="8"/>
      <c r="M227" s="23"/>
    </row>
    <row r="228" spans="1:14">
      <c r="A228" s="9">
        <f>+A222+1</f>
        <v>78</v>
      </c>
      <c r="C228" s="7" t="s">
        <v>43</v>
      </c>
      <c r="D228" s="8" t="s">
        <v>72</v>
      </c>
      <c r="E228" s="113">
        <v>0</v>
      </c>
      <c r="F228" s="53"/>
      <c r="G228" s="53"/>
      <c r="H228" s="365"/>
      <c r="I228" s="8"/>
      <c r="K228" s="8"/>
      <c r="L228" s="8"/>
      <c r="M228" s="23"/>
    </row>
    <row r="229" spans="1:14">
      <c r="A229" s="9">
        <f t="shared" ref="A229:A232" si="8">+A228+1</f>
        <v>79</v>
      </c>
      <c r="C229" s="7" t="s">
        <v>45</v>
      </c>
      <c r="D229" s="8" t="s">
        <v>208</v>
      </c>
      <c r="E229" s="427">
        <v>0</v>
      </c>
      <c r="F229" s="593">
        <f>+J215</f>
        <v>0</v>
      </c>
      <c r="H229" s="365">
        <f>+F229*E229</f>
        <v>0</v>
      </c>
      <c r="I229" s="8"/>
      <c r="M229" s="23"/>
    </row>
    <row r="230" spans="1:14" ht="15.75">
      <c r="A230" s="9">
        <f t="shared" si="8"/>
        <v>80</v>
      </c>
      <c r="C230" s="7" t="s">
        <v>46</v>
      </c>
      <c r="D230" s="8" t="s">
        <v>209</v>
      </c>
      <c r="E230" s="113">
        <v>0</v>
      </c>
      <c r="F230" s="53"/>
      <c r="G230" s="53"/>
      <c r="H230" s="365"/>
      <c r="I230" s="8"/>
      <c r="J230" s="51" t="s">
        <v>73</v>
      </c>
      <c r="M230" s="428"/>
      <c r="N230" s="34"/>
    </row>
    <row r="231" spans="1:14" ht="15.75" thickBot="1">
      <c r="A231" s="9">
        <f t="shared" si="8"/>
        <v>81</v>
      </c>
      <c r="C231" s="7" t="s">
        <v>74</v>
      </c>
      <c r="D231" s="8" t="s">
        <v>210</v>
      </c>
      <c r="E231" s="626">
        <v>0</v>
      </c>
      <c r="F231" s="53"/>
      <c r="G231" s="53"/>
      <c r="H231" s="372"/>
      <c r="I231" s="8"/>
      <c r="J231" s="12" t="s">
        <v>75</v>
      </c>
      <c r="M231" s="23"/>
    </row>
    <row r="232" spans="1:14">
      <c r="A232" s="9">
        <f t="shared" si="8"/>
        <v>82</v>
      </c>
      <c r="C232" s="7" t="s">
        <v>35</v>
      </c>
      <c r="D232" s="8" t="str">
        <f>" Sum of Lines "&amp;A228&amp;" through "&amp;A231&amp;""</f>
        <v xml:space="preserve"> Sum of Lines 78 through 81</v>
      </c>
      <c r="E232" s="103">
        <f>SUM(E228:E231)</f>
        <v>0</v>
      </c>
      <c r="F232" s="8"/>
      <c r="G232" s="8"/>
      <c r="H232" s="365">
        <f>SUM(H228:H231)</f>
        <v>0</v>
      </c>
      <c r="I232" s="24" t="s">
        <v>76</v>
      </c>
      <c r="J232" s="370">
        <f>IF(E232=0,0,H232/E232)</f>
        <v>0</v>
      </c>
      <c r="M232" s="23"/>
      <c r="N232" s="34"/>
    </row>
    <row r="233" spans="1:14">
      <c r="A233" s="9"/>
      <c r="C233" s="7"/>
      <c r="D233" s="8"/>
      <c r="E233" s="103"/>
      <c r="F233" s="8"/>
      <c r="G233" s="8"/>
      <c r="H233" s="365"/>
      <c r="I233" s="24"/>
      <c r="J233" s="51" t="s">
        <v>47</v>
      </c>
      <c r="M233" s="23"/>
      <c r="N233" s="34"/>
    </row>
    <row r="234" spans="1:14">
      <c r="A234" s="9"/>
      <c r="C234" s="7"/>
      <c r="D234" s="8"/>
      <c r="E234" s="103"/>
      <c r="F234" s="8"/>
      <c r="G234" s="8"/>
      <c r="H234" s="365"/>
      <c r="I234" s="24"/>
      <c r="J234" s="370"/>
      <c r="M234" s="23"/>
      <c r="N234" s="34"/>
    </row>
    <row r="235" spans="1:14">
      <c r="A235" s="9"/>
      <c r="B235" s="37"/>
      <c r="C235" s="2"/>
      <c r="D235" s="8"/>
      <c r="E235" s="8"/>
      <c r="F235" s="8"/>
      <c r="G235" s="8"/>
      <c r="H235" s="8"/>
      <c r="I235" s="8"/>
      <c r="M235" s="23"/>
      <c r="N235" s="23"/>
    </row>
    <row r="236" spans="1:14">
      <c r="A236" s="9"/>
      <c r="B236" s="37"/>
      <c r="C236" s="2" t="str">
        <f>"RETURN (R)      (Note "&amp;A293&amp;")"</f>
        <v>RETURN (R)      (Note J)</v>
      </c>
      <c r="D236" s="8"/>
      <c r="E236" s="37"/>
      <c r="F236" s="37"/>
      <c r="G236" s="37"/>
      <c r="H236" s="37"/>
      <c r="I236" s="37"/>
      <c r="J236" s="8"/>
      <c r="L236" s="553"/>
      <c r="M236" s="23"/>
      <c r="N236" s="23"/>
    </row>
    <row r="237" spans="1:14" ht="15.75" thickBot="1">
      <c r="A237" s="9"/>
      <c r="C237" s="7"/>
      <c r="D237" s="8"/>
      <c r="F237" s="13" t="s">
        <v>70</v>
      </c>
      <c r="G237" s="13" t="s">
        <v>77</v>
      </c>
      <c r="H237" s="52" t="s">
        <v>481</v>
      </c>
      <c r="J237" s="13" t="s">
        <v>78</v>
      </c>
      <c r="K237" s="8"/>
    </row>
    <row r="238" spans="1:14">
      <c r="A238" s="9">
        <f>+A232+1</f>
        <v>83</v>
      </c>
      <c r="C238" s="2" t="s">
        <v>326</v>
      </c>
      <c r="D238" s="610" t="str">
        <f>"Attachment 4, Line "&amp;'4 - Cost Support'!A15&amp;""</f>
        <v>Attachment 4, Line 6</v>
      </c>
      <c r="F238" s="373">
        <f>+'4 - Cost Support'!Q15</f>
        <v>0</v>
      </c>
      <c r="G238" s="467">
        <f>IF(F241=0,0,F238/F241)</f>
        <v>0</v>
      </c>
      <c r="H238" s="625">
        <f>'4 - Cost Support'!Q36</f>
        <v>0</v>
      </c>
      <c r="J238" s="580">
        <f>+H238*G238</f>
        <v>0</v>
      </c>
      <c r="K238" s="54" t="s">
        <v>79</v>
      </c>
      <c r="N238" s="23"/>
    </row>
    <row r="239" spans="1:14">
      <c r="A239" s="9">
        <f t="shared" ref="A239:A241" si="9">+A238+1</f>
        <v>84</v>
      </c>
      <c r="C239" s="2" t="s">
        <v>183</v>
      </c>
      <c r="D239" s="610" t="str">
        <f>"Attachment 4, Line "&amp;'4 - Cost Support'!A17&amp;""</f>
        <v>Attachment 4, Line 7</v>
      </c>
      <c r="F239" s="369">
        <f>+'4 - Cost Support'!Q17</f>
        <v>0</v>
      </c>
      <c r="G239" s="467">
        <f>IF(F$241=0,0,F239/F$241)</f>
        <v>0</v>
      </c>
      <c r="H239" s="369">
        <f>+'4 - Cost Support'!P41</f>
        <v>0</v>
      </c>
      <c r="J239" s="366">
        <f>+H239*G239</f>
        <v>0</v>
      </c>
      <c r="K239" s="8"/>
    </row>
    <row r="240" spans="1:14" ht="15.75" thickBot="1">
      <c r="A240" s="9">
        <f t="shared" si="9"/>
        <v>85</v>
      </c>
      <c r="C240" s="2" t="str">
        <f>"  Common Stock "</f>
        <v xml:space="preserve">  Common Stock </v>
      </c>
      <c r="D240" s="610" t="str">
        <f>"Attachment 4, Line "&amp;'4 - Cost Support'!A23&amp;""</f>
        <v>Attachment 4, Line 12</v>
      </c>
      <c r="F240" s="374">
        <f>+'4 - Cost Support'!Q23</f>
        <v>0</v>
      </c>
      <c r="G240" s="627">
        <f>IF(F241=0,0,F240/F241)</f>
        <v>0</v>
      </c>
      <c r="H240" s="467">
        <v>9.4E-2</v>
      </c>
      <c r="J240" s="375">
        <f>+H240*G240</f>
        <v>0</v>
      </c>
      <c r="K240" s="8"/>
    </row>
    <row r="241" spans="1:13">
      <c r="A241" s="9">
        <f t="shared" si="9"/>
        <v>86</v>
      </c>
      <c r="C241" s="7" t="s">
        <v>482</v>
      </c>
      <c r="D241" s="1" t="str">
        <f>" Sum of Lines "&amp;A238&amp;" through "&amp;A240&amp;""</f>
        <v xml:space="preserve"> Sum of Lines 83 through 85</v>
      </c>
      <c r="F241" s="365">
        <f>SUM(F238:F240)</f>
        <v>0</v>
      </c>
      <c r="G241" s="759">
        <f>+SUM(G238:G240)</f>
        <v>0</v>
      </c>
      <c r="H241" s="8"/>
      <c r="I241" s="8"/>
      <c r="J241" s="580">
        <f>SUM(J238:J240)</f>
        <v>0</v>
      </c>
      <c r="K241" s="54" t="s">
        <v>80</v>
      </c>
    </row>
    <row r="242" spans="1:13">
      <c r="F242" s="8"/>
      <c r="G242" s="8"/>
      <c r="H242" s="8"/>
      <c r="I242" s="8"/>
    </row>
    <row r="243" spans="1:13">
      <c r="F243" s="8"/>
      <c r="G243" s="8"/>
      <c r="H243" s="8"/>
      <c r="I243" s="8"/>
    </row>
    <row r="244" spans="1:13">
      <c r="F244" s="8"/>
      <c r="G244" s="8"/>
      <c r="H244" s="8"/>
      <c r="I244" s="8"/>
    </row>
    <row r="245" spans="1:13">
      <c r="C245" s="24"/>
      <c r="D245" s="24"/>
      <c r="E245" s="24"/>
      <c r="F245" s="8"/>
      <c r="G245" s="8"/>
      <c r="H245" s="25"/>
      <c r="I245" s="8"/>
      <c r="J245" s="386"/>
      <c r="K245" s="6"/>
      <c r="L245" s="6"/>
      <c r="M245" s="5" t="s">
        <v>279</v>
      </c>
    </row>
    <row r="246" spans="1:13">
      <c r="E246" s="379"/>
      <c r="F246" s="8"/>
      <c r="G246" s="8"/>
      <c r="H246" s="70"/>
      <c r="I246" s="8"/>
      <c r="K246" s="7"/>
      <c r="L246" s="6"/>
      <c r="M246" s="6" t="s">
        <v>281</v>
      </c>
    </row>
    <row r="247" spans="1:13">
      <c r="F247" s="8"/>
      <c r="G247" s="8"/>
      <c r="H247" s="8"/>
      <c r="I247" s="8"/>
      <c r="K247" s="7"/>
      <c r="L247" s="6"/>
    </row>
    <row r="248" spans="1:13">
      <c r="A248" s="9"/>
      <c r="C248" s="7"/>
      <c r="E248" s="7"/>
      <c r="F248" s="7"/>
      <c r="G248" s="7"/>
      <c r="H248" s="7"/>
      <c r="I248" s="7"/>
      <c r="J248" s="7"/>
      <c r="K248" s="7"/>
      <c r="L248" s="7"/>
    </row>
    <row r="249" spans="1:13" ht="18">
      <c r="A249" s="57"/>
      <c r="B249" s="57"/>
      <c r="C249" s="57"/>
      <c r="D249" s="48"/>
      <c r="E249" s="48"/>
      <c r="F249" s="48"/>
      <c r="G249" s="48"/>
      <c r="H249" s="48"/>
      <c r="I249" s="48"/>
      <c r="J249" s="48"/>
      <c r="K249" s="7"/>
      <c r="L249" s="7"/>
    </row>
    <row r="250" spans="1:13">
      <c r="C250" s="2"/>
      <c r="D250" s="2"/>
      <c r="E250" s="3"/>
      <c r="F250" s="2"/>
      <c r="G250" s="2"/>
      <c r="H250" s="2"/>
      <c r="I250" s="2"/>
      <c r="J250" s="2"/>
      <c r="K250" s="181"/>
      <c r="L250" s="182"/>
      <c r="M250" s="180" t="str">
        <f>+M198</f>
        <v>For the 12 months ended 5/31/XX</v>
      </c>
    </row>
    <row r="251" spans="1:13" ht="15.75">
      <c r="C251" s="2"/>
      <c r="D251" s="2"/>
      <c r="E251" s="3"/>
      <c r="F251" s="2"/>
      <c r="G251" s="2"/>
      <c r="H251" s="2"/>
      <c r="I251" s="2"/>
      <c r="J251" s="2"/>
      <c r="K251" s="55"/>
      <c r="L251" s="58"/>
      <c r="M251" s="59"/>
    </row>
    <row r="252" spans="1:13" s="57" customFormat="1" ht="18.75">
      <c r="A252" s="1"/>
      <c r="B252" s="1"/>
      <c r="C252" s="2"/>
      <c r="D252" s="33" t="s">
        <v>67</v>
      </c>
      <c r="E252" s="1"/>
      <c r="F252" s="2"/>
      <c r="G252" s="2"/>
      <c r="H252" s="2"/>
      <c r="I252" s="2"/>
      <c r="J252" s="2"/>
      <c r="K252" s="516"/>
      <c r="L252" s="517"/>
      <c r="M252" s="63"/>
    </row>
    <row r="253" spans="1:13" s="57" customFormat="1" ht="18.75">
      <c r="A253" s="1"/>
      <c r="B253" s="1"/>
      <c r="C253" s="2" t="s">
        <v>21</v>
      </c>
      <c r="D253" s="69"/>
      <c r="E253" s="69" t="s">
        <v>107</v>
      </c>
      <c r="F253" s="2"/>
      <c r="G253" s="2"/>
      <c r="H253" s="2"/>
      <c r="I253" s="2"/>
      <c r="J253" s="1"/>
      <c r="K253" s="516"/>
      <c r="L253" s="517"/>
      <c r="M253" s="63"/>
    </row>
    <row r="254" spans="1:13" s="57" customFormat="1" ht="18.75">
      <c r="A254" s="1"/>
      <c r="B254" s="1"/>
      <c r="C254" s="2"/>
      <c r="D254" s="8" t="s">
        <v>22</v>
      </c>
      <c r="E254" s="8" t="s">
        <v>23</v>
      </c>
      <c r="F254" s="8"/>
      <c r="G254" s="8"/>
      <c r="H254" s="8"/>
      <c r="I254" s="2"/>
      <c r="J254" s="2"/>
      <c r="K254" s="61"/>
      <c r="L254" s="62"/>
      <c r="M254" s="63"/>
    </row>
    <row r="255" spans="1:13" s="57" customFormat="1" ht="18.75">
      <c r="A255" s="9"/>
      <c r="B255" s="1"/>
      <c r="C255" s="7"/>
      <c r="D255" s="7"/>
      <c r="E255" s="7"/>
      <c r="F255" s="7"/>
      <c r="G255" s="7"/>
      <c r="H255" s="7"/>
      <c r="I255" s="7"/>
      <c r="J255" s="7"/>
      <c r="K255" s="61"/>
      <c r="L255" s="62"/>
      <c r="M255" s="63"/>
    </row>
    <row r="256" spans="1:13" s="57" customFormat="1" ht="18.75">
      <c r="A256" s="9"/>
      <c r="B256" s="1"/>
      <c r="C256" s="1"/>
      <c r="D256" s="7"/>
      <c r="E256" s="27" t="str">
        <f>D9</f>
        <v>HURLEY AVENUE PROJECT - SYSTEM DELIVERABILITY UPGRADE</v>
      </c>
      <c r="F256" s="7"/>
      <c r="G256" s="7"/>
      <c r="H256" s="7"/>
      <c r="I256" s="7"/>
      <c r="J256" s="7"/>
      <c r="K256" s="61"/>
      <c r="L256" s="62"/>
      <c r="M256" s="63"/>
    </row>
    <row r="257" spans="1:14" s="57" customFormat="1" ht="18.75">
      <c r="A257" s="9"/>
      <c r="B257" s="1"/>
      <c r="C257" s="7"/>
      <c r="D257" s="4"/>
      <c r="E257" s="1"/>
      <c r="F257" s="7"/>
      <c r="G257" s="7"/>
      <c r="H257" s="7"/>
      <c r="I257" s="7"/>
      <c r="J257" s="7"/>
      <c r="K257" s="61"/>
      <c r="L257" s="62"/>
      <c r="M257" s="63"/>
    </row>
    <row r="258" spans="1:14" s="57" customFormat="1" ht="18">
      <c r="A258" s="9"/>
      <c r="B258" s="37"/>
      <c r="C258" s="56"/>
      <c r="D258" s="4"/>
      <c r="E258" s="8"/>
      <c r="F258" s="8"/>
      <c r="G258" s="8"/>
      <c r="H258" s="8"/>
      <c r="I258" s="2"/>
      <c r="J258" s="69"/>
      <c r="K258" s="341"/>
      <c r="L258" s="341"/>
      <c r="M258" s="508"/>
    </row>
    <row r="259" spans="1:14" s="57" customFormat="1" ht="18">
      <c r="A259" s="60"/>
      <c r="B259" s="61"/>
      <c r="C259" s="512"/>
      <c r="F259" s="513"/>
      <c r="G259" s="513"/>
      <c r="H259" s="513"/>
      <c r="I259" s="514"/>
      <c r="J259" s="515"/>
      <c r="K259" s="341"/>
      <c r="L259" s="341"/>
      <c r="M259" s="508"/>
    </row>
    <row r="260" spans="1:14" s="57" customFormat="1" ht="18">
      <c r="A260" s="60"/>
      <c r="B260" s="61"/>
      <c r="C260" s="512"/>
      <c r="D260" s="518"/>
      <c r="E260" s="513"/>
      <c r="F260" s="513"/>
      <c r="G260" s="513"/>
      <c r="H260" s="513"/>
      <c r="I260" s="514"/>
      <c r="J260" s="515"/>
      <c r="K260" s="341"/>
      <c r="L260" s="341"/>
      <c r="M260" s="508"/>
    </row>
    <row r="261" spans="1:14" s="57" customFormat="1" ht="18">
      <c r="A261" s="60"/>
      <c r="B261" s="61"/>
      <c r="C261" s="61" t="s">
        <v>81</v>
      </c>
      <c r="D261" s="60"/>
      <c r="E261" s="62"/>
      <c r="F261" s="62"/>
      <c r="G261" s="62"/>
      <c r="H261" s="62"/>
      <c r="I261" s="61"/>
      <c r="J261" s="62"/>
      <c r="K261" s="341"/>
      <c r="L261" s="341"/>
      <c r="M261" s="508"/>
    </row>
    <row r="262" spans="1:14" s="57" customFormat="1" ht="18">
      <c r="A262" s="60"/>
      <c r="B262" s="61"/>
      <c r="C262" s="61" t="s">
        <v>82</v>
      </c>
      <c r="D262" s="60"/>
      <c r="E262" s="62"/>
      <c r="F262" s="62"/>
      <c r="G262" s="62"/>
      <c r="H262" s="62"/>
      <c r="I262" s="61"/>
      <c r="J262" s="62"/>
      <c r="K262" s="341"/>
      <c r="L262" s="341"/>
      <c r="M262" s="508"/>
    </row>
    <row r="263" spans="1:14" s="57" customFormat="1" ht="18">
      <c r="A263" s="60" t="s">
        <v>83</v>
      </c>
      <c r="B263" s="61"/>
      <c r="C263" s="61"/>
      <c r="D263" s="61"/>
      <c r="E263" s="62"/>
      <c r="F263" s="62"/>
      <c r="G263" s="62"/>
      <c r="H263" s="62"/>
      <c r="I263" s="61"/>
      <c r="J263" s="62"/>
      <c r="K263" s="341"/>
      <c r="L263" s="341"/>
      <c r="M263" s="508"/>
    </row>
    <row r="264" spans="1:14" s="57" customFormat="1" ht="18.75" thickBot="1">
      <c r="A264" s="64" t="s">
        <v>84</v>
      </c>
      <c r="B264" s="61"/>
      <c r="C264" s="61"/>
      <c r="D264" s="61"/>
      <c r="E264" s="62"/>
      <c r="F264" s="62"/>
      <c r="G264" s="62"/>
      <c r="H264" s="62"/>
      <c r="I264" s="61"/>
      <c r="J264" s="62"/>
      <c r="K264" s="383"/>
      <c r="L264" s="341"/>
      <c r="M264" s="508"/>
      <c r="N264" s="341"/>
    </row>
    <row r="265" spans="1:14" s="57" customFormat="1" ht="18">
      <c r="A265" s="508" t="s">
        <v>85</v>
      </c>
      <c r="B265" s="341"/>
      <c r="C265" s="341" t="s">
        <v>335</v>
      </c>
      <c r="D265" s="341"/>
      <c r="E265" s="341"/>
      <c r="F265" s="341"/>
      <c r="G265" s="341"/>
      <c r="H265" s="341"/>
      <c r="I265" s="341"/>
      <c r="J265" s="341"/>
      <c r="K265" s="383"/>
      <c r="L265" s="341"/>
      <c r="M265" s="508"/>
      <c r="N265" s="341"/>
    </row>
    <row r="266" spans="1:14" s="57" customFormat="1" ht="18">
      <c r="A266" s="508"/>
      <c r="B266" s="341"/>
      <c r="C266" s="341" t="s">
        <v>395</v>
      </c>
      <c r="D266" s="341"/>
      <c r="E266" s="341"/>
      <c r="F266" s="341"/>
      <c r="G266" s="341"/>
      <c r="H266" s="341"/>
      <c r="I266" s="341"/>
      <c r="J266" s="341"/>
      <c r="K266" s="341"/>
      <c r="L266" s="341"/>
      <c r="M266" s="508"/>
      <c r="N266" s="342"/>
    </row>
    <row r="267" spans="1:14" s="57" customFormat="1" ht="18">
      <c r="A267" s="508"/>
      <c r="B267" s="341"/>
      <c r="C267" s="341" t="str">
        <f>"   is reduced by prior flow throughs and excluded if the utility chose to utilize amortization of tax credits against taxable income as discussed in Note "&amp;A279&amp;".  Account 281 is not allocated."</f>
        <v xml:space="preserve">   is reduced by prior flow throughs and excluded if the utility chose to utilize amortization of tax credits against taxable income as discussed in Note F.  Account 281 is not allocated.</v>
      </c>
      <c r="D267" s="341"/>
      <c r="E267" s="341"/>
      <c r="F267" s="341"/>
      <c r="G267" s="341"/>
      <c r="H267" s="341"/>
      <c r="I267" s="341"/>
      <c r="J267" s="341"/>
      <c r="K267" s="342"/>
      <c r="L267" s="341"/>
      <c r="M267" s="508"/>
      <c r="N267" s="341"/>
    </row>
    <row r="268" spans="1:14" s="630" customFormat="1" ht="20.25">
      <c r="A268" s="628" t="s">
        <v>86</v>
      </c>
      <c r="B268" s="629"/>
      <c r="C268" s="341" t="s">
        <v>493</v>
      </c>
      <c r="D268" s="629"/>
      <c r="E268" s="629"/>
      <c r="F268" s="629"/>
      <c r="G268" s="629"/>
      <c r="H268" s="629"/>
      <c r="I268" s="629"/>
      <c r="J268" s="629"/>
      <c r="K268" s="629"/>
      <c r="L268" s="629"/>
      <c r="M268" s="628"/>
      <c r="N268" s="629"/>
    </row>
    <row r="269" spans="1:14" s="57" customFormat="1" ht="18">
      <c r="A269" s="508" t="s">
        <v>87</v>
      </c>
      <c r="B269" s="341"/>
      <c r="C269" s="341" t="s">
        <v>185</v>
      </c>
      <c r="D269" s="341"/>
      <c r="E269" s="341"/>
      <c r="F269" s="341"/>
      <c r="G269" s="341"/>
      <c r="H269" s="341"/>
      <c r="I269" s="341"/>
      <c r="J269" s="341"/>
      <c r="K269" s="341"/>
      <c r="L269" s="341"/>
      <c r="M269" s="508"/>
      <c r="N269" s="341"/>
    </row>
    <row r="270" spans="1:14" s="57" customFormat="1" ht="18">
      <c r="A270" s="508"/>
      <c r="B270" s="341"/>
      <c r="C270" s="341" t="s">
        <v>93</v>
      </c>
      <c r="D270" s="341"/>
      <c r="E270" s="341"/>
      <c r="F270" s="341"/>
      <c r="G270" s="341"/>
      <c r="H270" s="341"/>
      <c r="I270" s="341"/>
      <c r="J270" s="341"/>
      <c r="K270" s="341"/>
      <c r="L270" s="341"/>
      <c r="M270" s="508"/>
    </row>
    <row r="271" spans="1:14" s="57" customFormat="1" ht="18">
      <c r="A271" s="508" t="s">
        <v>88</v>
      </c>
      <c r="B271" s="341"/>
      <c r="C271" s="383" t="s">
        <v>499</v>
      </c>
      <c r="D271" s="341"/>
      <c r="E271" s="341"/>
      <c r="F271" s="341"/>
      <c r="G271" s="341"/>
      <c r="H271" s="341"/>
      <c r="I271" s="341"/>
      <c r="J271" s="341"/>
      <c r="K271" s="341"/>
      <c r="L271" s="341"/>
      <c r="M271" s="508"/>
    </row>
    <row r="272" spans="1:14" s="57" customFormat="1" ht="18">
      <c r="A272" s="508"/>
      <c r="B272" s="341"/>
      <c r="C272" s="383" t="s">
        <v>494</v>
      </c>
      <c r="D272" s="341"/>
      <c r="E272" s="341"/>
      <c r="F272" s="341"/>
      <c r="G272" s="341"/>
      <c r="H272" s="341"/>
      <c r="I272" s="341"/>
      <c r="J272" s="341"/>
      <c r="K272" s="341"/>
      <c r="L272" s="341"/>
      <c r="M272" s="508"/>
    </row>
    <row r="273" spans="1:14" s="57" customFormat="1" ht="18">
      <c r="A273" s="508"/>
      <c r="B273" s="341"/>
      <c r="C273" s="383" t="s">
        <v>500</v>
      </c>
      <c r="D273" s="341"/>
      <c r="E273" s="341"/>
      <c r="F273" s="341"/>
      <c r="G273" s="341"/>
      <c r="H273" s="341"/>
      <c r="I273" s="341"/>
      <c r="J273" s="341"/>
      <c r="K273" s="341"/>
      <c r="L273" s="341"/>
      <c r="M273" s="508"/>
    </row>
    <row r="274" spans="1:14" s="57" customFormat="1" ht="18">
      <c r="A274" s="508"/>
      <c r="B274" s="341"/>
      <c r="C274" s="885" t="s">
        <v>673</v>
      </c>
      <c r="D274" s="886"/>
      <c r="E274" s="886"/>
      <c r="F274" s="886"/>
      <c r="G274" s="886"/>
      <c r="H274" s="886"/>
      <c r="I274" s="341"/>
      <c r="J274" s="341"/>
      <c r="K274" s="341"/>
      <c r="L274" s="341"/>
      <c r="M274" s="508"/>
    </row>
    <row r="275" spans="1:14" s="57" customFormat="1" ht="18">
      <c r="A275" s="508"/>
      <c r="B275" s="341"/>
      <c r="C275" s="885" t="s">
        <v>674</v>
      </c>
      <c r="D275" s="886"/>
      <c r="E275" s="886"/>
      <c r="F275" s="886"/>
      <c r="G275" s="886"/>
      <c r="H275" s="886"/>
      <c r="I275" s="341"/>
      <c r="J275" s="341"/>
      <c r="K275" s="341"/>
      <c r="L275" s="341"/>
      <c r="M275" s="508"/>
    </row>
    <row r="276" spans="1:14" s="57" customFormat="1" ht="18">
      <c r="A276" s="508" t="s">
        <v>89</v>
      </c>
      <c r="B276" s="341"/>
      <c r="C276" s="341" t="s">
        <v>96</v>
      </c>
      <c r="D276" s="341"/>
      <c r="E276" s="341"/>
      <c r="F276" s="341"/>
      <c r="G276" s="341"/>
      <c r="H276" s="341"/>
      <c r="I276" s="341"/>
      <c r="J276" s="341"/>
      <c r="K276" s="341"/>
      <c r="L276" s="341"/>
      <c r="M276" s="508"/>
    </row>
    <row r="277" spans="1:14" s="57" customFormat="1" ht="18">
      <c r="A277" s="508"/>
      <c r="B277" s="341"/>
      <c r="C277" s="341" t="s">
        <v>495</v>
      </c>
      <c r="D277" s="341"/>
      <c r="E277" s="341"/>
      <c r="F277" s="341"/>
      <c r="G277" s="341"/>
      <c r="H277" s="341"/>
      <c r="I277" s="341"/>
      <c r="J277" s="341"/>
      <c r="K277" s="342"/>
      <c r="L277" s="418"/>
      <c r="M277" s="509"/>
    </row>
    <row r="278" spans="1:14" s="57" customFormat="1" ht="18">
      <c r="A278" s="508"/>
      <c r="B278" s="341"/>
      <c r="C278" s="341" t="s">
        <v>97</v>
      </c>
      <c r="D278" s="341"/>
      <c r="E278" s="341"/>
      <c r="F278" s="341"/>
      <c r="G278" s="341"/>
      <c r="H278" s="341"/>
      <c r="I278" s="341"/>
      <c r="J278" s="341"/>
      <c r="K278" s="341"/>
      <c r="L278" s="341"/>
      <c r="M278" s="508"/>
    </row>
    <row r="279" spans="1:14" s="57" customFormat="1" ht="18">
      <c r="A279" s="508" t="s">
        <v>90</v>
      </c>
      <c r="B279" s="341"/>
      <c r="C279" s="341" t="s">
        <v>98</v>
      </c>
      <c r="D279" s="341"/>
      <c r="E279" s="341"/>
      <c r="F279" s="341"/>
      <c r="G279" s="341"/>
      <c r="H279" s="341"/>
      <c r="I279" s="341"/>
      <c r="J279" s="341"/>
      <c r="K279" s="341"/>
      <c r="L279" s="341"/>
      <c r="M279" s="519"/>
      <c r="N279" s="520"/>
    </row>
    <row r="280" spans="1:14" s="57" customFormat="1" ht="18">
      <c r="A280" s="508"/>
      <c r="B280" s="341"/>
      <c r="C280" s="341" t="s">
        <v>99</v>
      </c>
      <c r="D280" s="341"/>
      <c r="E280" s="341"/>
      <c r="F280" s="341"/>
      <c r="G280" s="341"/>
      <c r="H280" s="341"/>
      <c r="I280" s="341"/>
      <c r="J280" s="341"/>
      <c r="K280" s="341"/>
      <c r="L280" s="341"/>
      <c r="M280" s="508"/>
    </row>
    <row r="281" spans="1:14" s="57" customFormat="1" ht="18">
      <c r="A281" s="508"/>
      <c r="B281" s="341"/>
      <c r="C281" s="341" t="s">
        <v>502</v>
      </c>
      <c r="D281" s="341"/>
      <c r="E281" s="341"/>
      <c r="F281" s="341"/>
      <c r="G281" s="341"/>
      <c r="H281" s="341"/>
      <c r="I281" s="341"/>
      <c r="J281" s="341"/>
      <c r="K281" s="418"/>
      <c r="L281" s="341"/>
      <c r="M281" s="342"/>
      <c r="N281" s="341"/>
    </row>
    <row r="282" spans="1:14" s="57" customFormat="1" ht="18">
      <c r="A282" s="508"/>
      <c r="B282" s="341"/>
      <c r="C282" s="341" t="s">
        <v>503</v>
      </c>
      <c r="D282" s="341"/>
      <c r="E282" s="341"/>
      <c r="F282" s="341"/>
      <c r="G282" s="341"/>
      <c r="H282" s="341"/>
      <c r="I282" s="341"/>
      <c r="J282" s="341"/>
      <c r="K282" s="341"/>
      <c r="L282" s="341"/>
      <c r="M282" s="508"/>
    </row>
    <row r="283" spans="1:14" s="57" customFormat="1" ht="18">
      <c r="A283" s="508" t="s">
        <v>22</v>
      </c>
      <c r="B283" s="341"/>
      <c r="C283" s="341" t="s">
        <v>100</v>
      </c>
      <c r="D283" s="341" t="s">
        <v>101</v>
      </c>
      <c r="E283" s="606">
        <v>0</v>
      </c>
      <c r="F283" s="341"/>
      <c r="G283" s="341"/>
      <c r="H283" s="341"/>
      <c r="I283" s="341"/>
      <c r="J283" s="581"/>
      <c r="K283" s="341"/>
      <c r="L283" s="341"/>
      <c r="M283" s="508"/>
    </row>
    <row r="284" spans="1:14" s="57" customFormat="1" ht="18">
      <c r="A284" s="508"/>
      <c r="B284" s="341"/>
      <c r="C284" s="341"/>
      <c r="D284" s="341" t="s">
        <v>102</v>
      </c>
      <c r="E284" s="606">
        <v>0</v>
      </c>
      <c r="F284" s="341" t="s">
        <v>325</v>
      </c>
      <c r="G284" s="341"/>
      <c r="H284" s="341"/>
      <c r="I284" s="341"/>
      <c r="J284" s="341"/>
      <c r="K284" s="342"/>
      <c r="L284" s="342"/>
      <c r="M284" s="508"/>
    </row>
    <row r="285" spans="1:14" s="57" customFormat="1" ht="18">
      <c r="A285" s="508"/>
      <c r="B285" s="341"/>
      <c r="C285" s="341"/>
      <c r="D285" s="341" t="s">
        <v>103</v>
      </c>
      <c r="E285" s="376">
        <v>0</v>
      </c>
      <c r="F285" s="341" t="s">
        <v>104</v>
      </c>
      <c r="G285" s="341"/>
      <c r="H285" s="341"/>
      <c r="I285" s="341"/>
      <c r="J285" s="341"/>
      <c r="K285" s="342"/>
      <c r="L285" s="342"/>
      <c r="M285" s="508"/>
    </row>
    <row r="286" spans="1:14" s="57" customFormat="1" ht="18">
      <c r="A286" s="508"/>
      <c r="B286" s="341"/>
      <c r="C286" s="383" t="s">
        <v>19</v>
      </c>
      <c r="D286" s="341"/>
      <c r="E286" s="384"/>
      <c r="F286" s="341"/>
      <c r="G286" s="341"/>
      <c r="H286" s="341"/>
      <c r="I286" s="341"/>
      <c r="J286" s="341"/>
      <c r="K286" s="341"/>
      <c r="L286" s="341"/>
      <c r="M286" s="508"/>
    </row>
    <row r="287" spans="1:14" s="57" customFormat="1" ht="18">
      <c r="A287" s="508"/>
      <c r="B287" s="341"/>
      <c r="C287" s="341" t="s">
        <v>20</v>
      </c>
      <c r="D287" s="341"/>
      <c r="E287" s="384"/>
      <c r="F287" s="341"/>
      <c r="G287" s="341"/>
      <c r="H287" s="341"/>
      <c r="I287" s="341"/>
      <c r="J287" s="341"/>
      <c r="K287" s="341"/>
      <c r="L287" s="341"/>
      <c r="M287" s="508"/>
    </row>
    <row r="288" spans="1:14" s="57" customFormat="1" ht="18">
      <c r="A288" s="508"/>
      <c r="B288" s="341"/>
      <c r="C288" s="341" t="s">
        <v>270</v>
      </c>
      <c r="D288" s="341"/>
      <c r="E288" s="384"/>
      <c r="F288" s="341"/>
      <c r="G288" s="341"/>
      <c r="H288" s="341"/>
      <c r="I288" s="341"/>
      <c r="J288" s="341"/>
      <c r="K288" s="341"/>
      <c r="L288" s="341"/>
      <c r="M288" s="508"/>
    </row>
    <row r="289" spans="1:256" s="57" customFormat="1" ht="15.75" hidden="1" customHeight="1">
      <c r="A289" s="508" t="s">
        <v>92</v>
      </c>
      <c r="B289" s="341"/>
      <c r="C289" s="341" t="s">
        <v>105</v>
      </c>
      <c r="D289" s="341"/>
      <c r="E289" s="341"/>
      <c r="F289" s="341"/>
      <c r="G289" s="341"/>
      <c r="H289" s="341"/>
      <c r="I289" s="341"/>
      <c r="J289" s="341"/>
      <c r="K289" s="412"/>
      <c r="L289" s="412"/>
      <c r="M289" s="363"/>
      <c r="N289" s="521"/>
      <c r="O289" s="521"/>
      <c r="P289" s="521"/>
      <c r="Q289" s="521"/>
      <c r="R289" s="521"/>
      <c r="S289" s="521"/>
      <c r="T289" s="521"/>
      <c r="U289" s="521"/>
      <c r="V289" s="521"/>
      <c r="W289" s="521"/>
      <c r="X289" s="521"/>
      <c r="Y289" s="521"/>
      <c r="Z289" s="521"/>
      <c r="AA289" s="521"/>
      <c r="AB289" s="521"/>
      <c r="AC289" s="521"/>
      <c r="AD289" s="521"/>
      <c r="AE289" s="521"/>
      <c r="AF289" s="521"/>
      <c r="AG289" s="521"/>
      <c r="AH289" s="521"/>
      <c r="AI289" s="521"/>
      <c r="AJ289" s="521"/>
      <c r="AK289" s="521"/>
      <c r="AL289" s="521"/>
      <c r="AM289" s="521"/>
      <c r="AN289" s="521"/>
      <c r="AO289" s="521"/>
      <c r="AP289" s="521"/>
      <c r="AQ289" s="521"/>
      <c r="AR289" s="521"/>
      <c r="AS289" s="521"/>
      <c r="AT289" s="521"/>
      <c r="AU289" s="521"/>
      <c r="AV289" s="521"/>
      <c r="AW289" s="521"/>
      <c r="AX289" s="521"/>
      <c r="AY289" s="521"/>
      <c r="AZ289" s="521"/>
      <c r="BA289" s="521"/>
      <c r="BB289" s="521"/>
      <c r="BC289" s="521"/>
      <c r="BD289" s="521"/>
      <c r="BE289" s="521"/>
      <c r="BF289" s="521"/>
      <c r="BG289" s="521"/>
      <c r="BH289" s="521"/>
      <c r="BI289" s="521"/>
      <c r="BJ289" s="521"/>
      <c r="BK289" s="521"/>
      <c r="BL289" s="521"/>
      <c r="BM289" s="521"/>
      <c r="BN289" s="521"/>
      <c r="BO289" s="521"/>
      <c r="BP289" s="521"/>
      <c r="BQ289" s="521"/>
      <c r="BR289" s="521"/>
      <c r="BS289" s="521"/>
      <c r="BT289" s="521"/>
      <c r="BU289" s="521"/>
      <c r="BV289" s="521"/>
      <c r="BW289" s="521"/>
      <c r="BX289" s="521"/>
      <c r="BY289" s="521"/>
      <c r="BZ289" s="521"/>
      <c r="CA289" s="521"/>
      <c r="CB289" s="521"/>
      <c r="CC289" s="521"/>
      <c r="CD289" s="521"/>
      <c r="CE289" s="521"/>
      <c r="CF289" s="521"/>
      <c r="CG289" s="521"/>
      <c r="CH289" s="521"/>
      <c r="CI289" s="521"/>
      <c r="CJ289" s="521"/>
      <c r="CK289" s="521"/>
      <c r="CL289" s="521"/>
      <c r="CM289" s="521"/>
      <c r="CN289" s="521"/>
      <c r="CO289" s="521"/>
      <c r="CP289" s="521"/>
      <c r="CQ289" s="521"/>
      <c r="CR289" s="521"/>
      <c r="CS289" s="521"/>
      <c r="CT289" s="521"/>
      <c r="CU289" s="521"/>
      <c r="CV289" s="521"/>
      <c r="CW289" s="521"/>
      <c r="CX289" s="521"/>
      <c r="CY289" s="521"/>
      <c r="CZ289" s="521"/>
      <c r="DA289" s="521"/>
      <c r="DB289" s="521"/>
      <c r="DC289" s="521"/>
      <c r="DD289" s="521"/>
      <c r="DE289" s="521"/>
      <c r="DF289" s="521"/>
      <c r="DG289" s="521"/>
      <c r="DH289" s="521"/>
      <c r="DI289" s="521"/>
      <c r="DJ289" s="521"/>
      <c r="DK289" s="521"/>
      <c r="DL289" s="521"/>
      <c r="DM289" s="521"/>
      <c r="DN289" s="521"/>
      <c r="DO289" s="521"/>
      <c r="DP289" s="521"/>
      <c r="DQ289" s="521"/>
      <c r="DR289" s="521"/>
      <c r="DS289" s="521"/>
      <c r="DT289" s="521"/>
      <c r="DU289" s="521"/>
      <c r="DV289" s="521"/>
      <c r="DW289" s="521"/>
      <c r="DX289" s="521"/>
      <c r="DY289" s="521"/>
      <c r="DZ289" s="521"/>
      <c r="EA289" s="521"/>
      <c r="EB289" s="521"/>
      <c r="EC289" s="521"/>
      <c r="ED289" s="521"/>
      <c r="EE289" s="521"/>
      <c r="EF289" s="521"/>
      <c r="EG289" s="521"/>
      <c r="EH289" s="521"/>
      <c r="EI289" s="521"/>
      <c r="EJ289" s="521"/>
      <c r="EK289" s="521"/>
      <c r="EL289" s="521"/>
      <c r="EM289" s="521"/>
      <c r="EN289" s="521"/>
      <c r="EO289" s="521"/>
      <c r="EP289" s="521"/>
      <c r="EQ289" s="521"/>
      <c r="ER289" s="521"/>
      <c r="ES289" s="521"/>
      <c r="ET289" s="521"/>
      <c r="EU289" s="521"/>
      <c r="EV289" s="521"/>
      <c r="EW289" s="521"/>
      <c r="EX289" s="521"/>
      <c r="EY289" s="521"/>
      <c r="EZ289" s="521"/>
      <c r="FA289" s="521"/>
      <c r="FB289" s="521"/>
      <c r="FC289" s="521"/>
      <c r="FD289" s="521"/>
      <c r="FE289" s="521"/>
      <c r="FF289" s="521"/>
      <c r="FG289" s="521"/>
      <c r="FH289" s="521"/>
      <c r="FI289" s="521"/>
      <c r="FJ289" s="521"/>
      <c r="FK289" s="521"/>
      <c r="FL289" s="521"/>
      <c r="FM289" s="521"/>
      <c r="FN289" s="521"/>
      <c r="FO289" s="521"/>
      <c r="FP289" s="521"/>
      <c r="FQ289" s="521"/>
      <c r="FR289" s="521"/>
      <c r="FS289" s="521"/>
      <c r="FT289" s="521"/>
      <c r="FU289" s="521"/>
      <c r="FV289" s="521"/>
      <c r="FW289" s="521"/>
      <c r="FX289" s="521"/>
      <c r="FY289" s="521"/>
      <c r="FZ289" s="521"/>
      <c r="GA289" s="521"/>
      <c r="GB289" s="521"/>
      <c r="GC289" s="521"/>
      <c r="GD289" s="521"/>
      <c r="GE289" s="521"/>
      <c r="GF289" s="521"/>
      <c r="GG289" s="521"/>
      <c r="GH289" s="521"/>
      <c r="GI289" s="521"/>
      <c r="GJ289" s="521"/>
      <c r="GK289" s="521"/>
      <c r="GL289" s="521"/>
      <c r="GM289" s="521"/>
      <c r="GN289" s="521"/>
      <c r="GO289" s="521"/>
      <c r="GP289" s="521"/>
      <c r="GQ289" s="521"/>
      <c r="GR289" s="521"/>
      <c r="GS289" s="521"/>
      <c r="GT289" s="521"/>
      <c r="GU289" s="521"/>
      <c r="GV289" s="521"/>
      <c r="GW289" s="521"/>
      <c r="GX289" s="521"/>
      <c r="GY289" s="521"/>
      <c r="GZ289" s="521"/>
      <c r="HA289" s="521"/>
      <c r="HB289" s="521"/>
      <c r="HC289" s="521"/>
      <c r="HD289" s="521"/>
      <c r="HE289" s="521"/>
      <c r="HF289" s="521"/>
      <c r="HG289" s="521"/>
      <c r="HH289" s="521"/>
      <c r="HI289" s="521"/>
      <c r="HJ289" s="521"/>
      <c r="HK289" s="521"/>
      <c r="HL289" s="521"/>
      <c r="HM289" s="521"/>
      <c r="HN289" s="521"/>
      <c r="HO289" s="521"/>
      <c r="HP289" s="521"/>
      <c r="HQ289" s="521"/>
      <c r="HR289" s="521"/>
      <c r="HS289" s="521"/>
      <c r="HT289" s="521"/>
      <c r="HU289" s="521"/>
      <c r="HV289" s="521"/>
      <c r="HW289" s="521"/>
      <c r="HX289" s="521"/>
      <c r="HY289" s="521"/>
      <c r="HZ289" s="521"/>
      <c r="IA289" s="521"/>
      <c r="IB289" s="521"/>
      <c r="IC289" s="521"/>
      <c r="ID289" s="521"/>
      <c r="IE289" s="521"/>
      <c r="IF289" s="521"/>
      <c r="IG289" s="521"/>
      <c r="IH289" s="521"/>
      <c r="II289" s="521"/>
      <c r="IJ289" s="521"/>
      <c r="IK289" s="521"/>
      <c r="IL289" s="521"/>
      <c r="IM289" s="521"/>
      <c r="IN289" s="521"/>
      <c r="IO289" s="521"/>
      <c r="IP289" s="521"/>
      <c r="IQ289" s="521"/>
      <c r="IR289" s="521"/>
      <c r="IS289" s="521"/>
      <c r="IT289" s="521"/>
      <c r="IU289" s="521"/>
      <c r="IV289" s="521"/>
    </row>
    <row r="290" spans="1:256" s="57" customFormat="1" ht="15.75" customHeight="1">
      <c r="A290" s="508" t="s">
        <v>91</v>
      </c>
      <c r="B290" s="341"/>
      <c r="C290" s="341" t="s">
        <v>505</v>
      </c>
      <c r="D290" s="341"/>
      <c r="E290" s="341"/>
      <c r="F290" s="341"/>
      <c r="G290" s="341"/>
      <c r="H290" s="341"/>
      <c r="I290" s="341"/>
      <c r="J290" s="341"/>
      <c r="K290" s="412"/>
      <c r="L290" s="412"/>
      <c r="M290" s="363"/>
      <c r="N290" s="521"/>
      <c r="O290" s="521"/>
      <c r="P290" s="521"/>
      <c r="Q290" s="521"/>
      <c r="R290" s="521"/>
      <c r="S290" s="521"/>
      <c r="T290" s="521"/>
      <c r="U290" s="521"/>
      <c r="V290" s="521"/>
      <c r="W290" s="521"/>
      <c r="X290" s="521"/>
      <c r="Y290" s="521"/>
      <c r="Z290" s="521"/>
      <c r="AA290" s="521"/>
      <c r="AB290" s="521"/>
      <c r="AC290" s="521"/>
      <c r="AD290" s="521"/>
      <c r="AE290" s="521"/>
      <c r="AF290" s="521"/>
      <c r="AG290" s="521"/>
      <c r="AH290" s="521"/>
      <c r="AI290" s="521"/>
      <c r="AJ290" s="521"/>
      <c r="AK290" s="521"/>
      <c r="AL290" s="521"/>
      <c r="AM290" s="521"/>
      <c r="AN290" s="521"/>
      <c r="AO290" s="521"/>
      <c r="AP290" s="521"/>
      <c r="AQ290" s="521"/>
      <c r="AR290" s="521"/>
      <c r="AS290" s="521"/>
      <c r="AT290" s="521"/>
      <c r="AU290" s="521"/>
      <c r="AV290" s="521"/>
      <c r="AW290" s="521"/>
      <c r="AX290" s="521"/>
      <c r="AY290" s="521"/>
      <c r="AZ290" s="521"/>
      <c r="BA290" s="521"/>
      <c r="BB290" s="521"/>
      <c r="BC290" s="521"/>
      <c r="BD290" s="521"/>
      <c r="BE290" s="521"/>
      <c r="BF290" s="521"/>
      <c r="BG290" s="521"/>
      <c r="BH290" s="521"/>
      <c r="BI290" s="521"/>
      <c r="BJ290" s="521"/>
      <c r="BK290" s="521"/>
      <c r="BL290" s="521"/>
      <c r="BM290" s="521"/>
      <c r="BN290" s="521"/>
      <c r="BO290" s="521"/>
      <c r="BP290" s="521"/>
      <c r="BQ290" s="521"/>
      <c r="BR290" s="521"/>
      <c r="BS290" s="521"/>
      <c r="BT290" s="521"/>
      <c r="BU290" s="521"/>
      <c r="BV290" s="521"/>
      <c r="BW290" s="521"/>
      <c r="BX290" s="521"/>
      <c r="BY290" s="521"/>
      <c r="BZ290" s="521"/>
      <c r="CA290" s="521"/>
      <c r="CB290" s="521"/>
      <c r="CC290" s="521"/>
      <c r="CD290" s="521"/>
      <c r="CE290" s="521"/>
      <c r="CF290" s="521"/>
      <c r="CG290" s="521"/>
      <c r="CH290" s="521"/>
      <c r="CI290" s="521"/>
      <c r="CJ290" s="521"/>
      <c r="CK290" s="521"/>
      <c r="CL290" s="521"/>
      <c r="CM290" s="521"/>
      <c r="CN290" s="521"/>
      <c r="CO290" s="521"/>
      <c r="CP290" s="521"/>
      <c r="CQ290" s="521"/>
      <c r="CR290" s="521"/>
      <c r="CS290" s="521"/>
      <c r="CT290" s="521"/>
      <c r="CU290" s="521"/>
      <c r="CV290" s="521"/>
      <c r="CW290" s="521"/>
      <c r="CX290" s="521"/>
      <c r="CY290" s="521"/>
      <c r="CZ290" s="521"/>
      <c r="DA290" s="521"/>
      <c r="DB290" s="521"/>
      <c r="DC290" s="521"/>
      <c r="DD290" s="521"/>
      <c r="DE290" s="521"/>
      <c r="DF290" s="521"/>
      <c r="DG290" s="521"/>
      <c r="DH290" s="521"/>
      <c r="DI290" s="521"/>
      <c r="DJ290" s="521"/>
      <c r="DK290" s="521"/>
      <c r="DL290" s="521"/>
      <c r="DM290" s="521"/>
      <c r="DN290" s="521"/>
      <c r="DO290" s="521"/>
      <c r="DP290" s="521"/>
      <c r="DQ290" s="521"/>
      <c r="DR290" s="521"/>
      <c r="DS290" s="521"/>
      <c r="DT290" s="521"/>
      <c r="DU290" s="521"/>
      <c r="DV290" s="521"/>
      <c r="DW290" s="521"/>
      <c r="DX290" s="521"/>
      <c r="DY290" s="521"/>
      <c r="DZ290" s="521"/>
      <c r="EA290" s="521"/>
      <c r="EB290" s="521"/>
      <c r="EC290" s="521"/>
      <c r="ED290" s="521"/>
      <c r="EE290" s="521"/>
      <c r="EF290" s="521"/>
      <c r="EG290" s="521"/>
      <c r="EH290" s="521"/>
      <c r="EI290" s="521"/>
      <c r="EJ290" s="521"/>
      <c r="EK290" s="521"/>
      <c r="EL290" s="521"/>
      <c r="EM290" s="521"/>
      <c r="EN290" s="521"/>
      <c r="EO290" s="521"/>
      <c r="EP290" s="521"/>
      <c r="EQ290" s="521"/>
      <c r="ER290" s="521"/>
      <c r="ES290" s="521"/>
      <c r="ET290" s="521"/>
      <c r="EU290" s="521"/>
      <c r="EV290" s="521"/>
      <c r="EW290" s="521"/>
      <c r="EX290" s="521"/>
      <c r="EY290" s="521"/>
      <c r="EZ290" s="521"/>
      <c r="FA290" s="521"/>
      <c r="FB290" s="521"/>
      <c r="FC290" s="521"/>
      <c r="FD290" s="521"/>
      <c r="FE290" s="521"/>
      <c r="FF290" s="521"/>
      <c r="FG290" s="521"/>
      <c r="FH290" s="521"/>
      <c r="FI290" s="521"/>
      <c r="FJ290" s="521"/>
      <c r="FK290" s="521"/>
      <c r="FL290" s="521"/>
      <c r="FM290" s="521"/>
      <c r="FN290" s="521"/>
      <c r="FO290" s="521"/>
      <c r="FP290" s="521"/>
      <c r="FQ290" s="521"/>
      <c r="FR290" s="521"/>
      <c r="FS290" s="521"/>
      <c r="FT290" s="521"/>
      <c r="FU290" s="521"/>
      <c r="FV290" s="521"/>
      <c r="FW290" s="521"/>
      <c r="FX290" s="521"/>
      <c r="FY290" s="521"/>
      <c r="FZ290" s="521"/>
      <c r="GA290" s="521"/>
      <c r="GB290" s="521"/>
      <c r="GC290" s="521"/>
      <c r="GD290" s="521"/>
      <c r="GE290" s="521"/>
      <c r="GF290" s="521"/>
      <c r="GG290" s="521"/>
      <c r="GH290" s="521"/>
      <c r="GI290" s="521"/>
      <c r="GJ290" s="521"/>
      <c r="GK290" s="521"/>
      <c r="GL290" s="521"/>
      <c r="GM290" s="521"/>
      <c r="GN290" s="521"/>
      <c r="GO290" s="521"/>
      <c r="GP290" s="521"/>
      <c r="GQ290" s="521"/>
      <c r="GR290" s="521"/>
      <c r="GS290" s="521"/>
      <c r="GT290" s="521"/>
      <c r="GU290" s="521"/>
      <c r="GV290" s="521"/>
      <c r="GW290" s="521"/>
      <c r="GX290" s="521"/>
      <c r="GY290" s="521"/>
      <c r="GZ290" s="521"/>
      <c r="HA290" s="521"/>
      <c r="HB290" s="521"/>
      <c r="HC290" s="521"/>
      <c r="HD290" s="521"/>
      <c r="HE290" s="521"/>
      <c r="HF290" s="521"/>
      <c r="HG290" s="521"/>
      <c r="HH290" s="521"/>
      <c r="HI290" s="521"/>
      <c r="HJ290" s="521"/>
      <c r="HK290" s="521"/>
      <c r="HL290" s="521"/>
      <c r="HM290" s="521"/>
      <c r="HN290" s="521"/>
      <c r="HO290" s="521"/>
      <c r="HP290" s="521"/>
      <c r="HQ290" s="521"/>
      <c r="HR290" s="521"/>
      <c r="HS290" s="521"/>
      <c r="HT290" s="521"/>
      <c r="HU290" s="521"/>
      <c r="HV290" s="521"/>
      <c r="HW290" s="521"/>
      <c r="HX290" s="521"/>
      <c r="HY290" s="521"/>
      <c r="HZ290" s="521"/>
      <c r="IA290" s="521"/>
      <c r="IB290" s="521"/>
      <c r="IC290" s="521"/>
      <c r="ID290" s="521"/>
      <c r="IE290" s="521"/>
      <c r="IF290" s="521"/>
      <c r="IG290" s="521"/>
      <c r="IH290" s="521"/>
      <c r="II290" s="521"/>
      <c r="IJ290" s="521"/>
      <c r="IK290" s="521"/>
      <c r="IL290" s="521"/>
      <c r="IM290" s="521"/>
      <c r="IN290" s="521"/>
      <c r="IO290" s="521"/>
      <c r="IP290" s="521"/>
      <c r="IQ290" s="521"/>
      <c r="IR290" s="521"/>
      <c r="IS290" s="521"/>
      <c r="IT290" s="521"/>
      <c r="IU290" s="521"/>
      <c r="IV290" s="521"/>
    </row>
    <row r="291" spans="1:256" s="57" customFormat="1" ht="29.25" customHeight="1">
      <c r="A291" s="508" t="s">
        <v>92</v>
      </c>
      <c r="B291" s="341"/>
      <c r="C291" s="940" t="s">
        <v>506</v>
      </c>
      <c r="D291" s="940"/>
      <c r="E291" s="940"/>
      <c r="F291" s="940"/>
      <c r="G291" s="341"/>
      <c r="H291" s="341"/>
      <c r="I291" s="341"/>
      <c r="J291" s="341"/>
      <c r="K291" s="589"/>
      <c r="L291" s="589"/>
      <c r="M291" s="363"/>
      <c r="N291" s="521"/>
      <c r="O291" s="521"/>
      <c r="P291" s="521"/>
      <c r="Q291" s="521"/>
      <c r="R291" s="521"/>
      <c r="S291" s="521"/>
      <c r="T291" s="521"/>
      <c r="U291" s="521"/>
      <c r="V291" s="521"/>
      <c r="W291" s="521"/>
      <c r="X291" s="521"/>
      <c r="Y291" s="521"/>
      <c r="Z291" s="521"/>
      <c r="AA291" s="521"/>
      <c r="AB291" s="521"/>
      <c r="AC291" s="521"/>
      <c r="AD291" s="521"/>
      <c r="AE291" s="521"/>
      <c r="AF291" s="521"/>
      <c r="AG291" s="521"/>
      <c r="AH291" s="521"/>
      <c r="AI291" s="521"/>
      <c r="AJ291" s="521"/>
      <c r="AK291" s="521"/>
      <c r="AL291" s="521"/>
      <c r="AM291" s="521"/>
      <c r="AN291" s="521"/>
      <c r="AO291" s="521"/>
      <c r="AP291" s="521"/>
      <c r="AQ291" s="521"/>
      <c r="AR291" s="521"/>
      <c r="AS291" s="521"/>
      <c r="AT291" s="521"/>
      <c r="AU291" s="521"/>
      <c r="AV291" s="521"/>
      <c r="AW291" s="521"/>
      <c r="AX291" s="521"/>
      <c r="AY291" s="521"/>
      <c r="AZ291" s="521"/>
      <c r="BA291" s="521"/>
      <c r="BB291" s="521"/>
      <c r="BC291" s="521"/>
      <c r="BD291" s="521"/>
      <c r="BE291" s="521"/>
      <c r="BF291" s="521"/>
      <c r="BG291" s="521"/>
      <c r="BH291" s="521"/>
      <c r="BI291" s="521"/>
      <c r="BJ291" s="521"/>
      <c r="BK291" s="521"/>
      <c r="BL291" s="521"/>
      <c r="BM291" s="521"/>
      <c r="BN291" s="521"/>
      <c r="BO291" s="521"/>
      <c r="BP291" s="521"/>
      <c r="BQ291" s="521"/>
      <c r="BR291" s="521"/>
      <c r="BS291" s="521"/>
      <c r="BT291" s="521"/>
      <c r="BU291" s="521"/>
      <c r="BV291" s="521"/>
      <c r="BW291" s="521"/>
      <c r="BX291" s="521"/>
      <c r="BY291" s="521"/>
      <c r="BZ291" s="521"/>
      <c r="CA291" s="521"/>
      <c r="CB291" s="521"/>
      <c r="CC291" s="521"/>
      <c r="CD291" s="521"/>
      <c r="CE291" s="521"/>
      <c r="CF291" s="521"/>
      <c r="CG291" s="521"/>
      <c r="CH291" s="521"/>
      <c r="CI291" s="521"/>
      <c r="CJ291" s="521"/>
      <c r="CK291" s="521"/>
      <c r="CL291" s="521"/>
      <c r="CM291" s="521"/>
      <c r="CN291" s="521"/>
      <c r="CO291" s="521"/>
      <c r="CP291" s="521"/>
      <c r="CQ291" s="521"/>
      <c r="CR291" s="521"/>
      <c r="CS291" s="521"/>
      <c r="CT291" s="521"/>
      <c r="CU291" s="521"/>
      <c r="CV291" s="521"/>
      <c r="CW291" s="521"/>
      <c r="CX291" s="521"/>
      <c r="CY291" s="521"/>
      <c r="CZ291" s="521"/>
      <c r="DA291" s="521"/>
      <c r="DB291" s="521"/>
      <c r="DC291" s="521"/>
      <c r="DD291" s="521"/>
      <c r="DE291" s="521"/>
      <c r="DF291" s="521"/>
      <c r="DG291" s="521"/>
      <c r="DH291" s="521"/>
      <c r="DI291" s="521"/>
      <c r="DJ291" s="521"/>
      <c r="DK291" s="521"/>
      <c r="DL291" s="521"/>
      <c r="DM291" s="521"/>
      <c r="DN291" s="521"/>
      <c r="DO291" s="521"/>
      <c r="DP291" s="521"/>
      <c r="DQ291" s="521"/>
      <c r="DR291" s="521"/>
      <c r="DS291" s="521"/>
      <c r="DT291" s="521"/>
      <c r="DU291" s="521"/>
      <c r="DV291" s="521"/>
      <c r="DW291" s="521"/>
      <c r="DX291" s="521"/>
      <c r="DY291" s="521"/>
      <c r="DZ291" s="521"/>
      <c r="EA291" s="521"/>
      <c r="EB291" s="521"/>
      <c r="EC291" s="521"/>
      <c r="ED291" s="521"/>
      <c r="EE291" s="521"/>
      <c r="EF291" s="521"/>
      <c r="EG291" s="521"/>
      <c r="EH291" s="521"/>
      <c r="EI291" s="521"/>
      <c r="EJ291" s="521"/>
      <c r="EK291" s="521"/>
      <c r="EL291" s="521"/>
      <c r="EM291" s="521"/>
      <c r="EN291" s="521"/>
      <c r="EO291" s="521"/>
      <c r="EP291" s="521"/>
      <c r="EQ291" s="521"/>
      <c r="ER291" s="521"/>
      <c r="ES291" s="521"/>
      <c r="ET291" s="521"/>
      <c r="EU291" s="521"/>
      <c r="EV291" s="521"/>
      <c r="EW291" s="521"/>
      <c r="EX291" s="521"/>
      <c r="EY291" s="521"/>
      <c r="EZ291" s="521"/>
      <c r="FA291" s="521"/>
      <c r="FB291" s="521"/>
      <c r="FC291" s="521"/>
      <c r="FD291" s="521"/>
      <c r="FE291" s="521"/>
      <c r="FF291" s="521"/>
      <c r="FG291" s="521"/>
      <c r="FH291" s="521"/>
      <c r="FI291" s="521"/>
      <c r="FJ291" s="521"/>
      <c r="FK291" s="521"/>
      <c r="FL291" s="521"/>
      <c r="FM291" s="521"/>
      <c r="FN291" s="521"/>
      <c r="FO291" s="521"/>
      <c r="FP291" s="521"/>
      <c r="FQ291" s="521"/>
      <c r="FR291" s="521"/>
      <c r="FS291" s="521"/>
      <c r="FT291" s="521"/>
      <c r="FU291" s="521"/>
      <c r="FV291" s="521"/>
      <c r="FW291" s="521"/>
      <c r="FX291" s="521"/>
      <c r="FY291" s="521"/>
      <c r="FZ291" s="521"/>
      <c r="GA291" s="521"/>
      <c r="GB291" s="521"/>
      <c r="GC291" s="521"/>
      <c r="GD291" s="521"/>
      <c r="GE291" s="521"/>
      <c r="GF291" s="521"/>
      <c r="GG291" s="521"/>
      <c r="GH291" s="521"/>
      <c r="GI291" s="521"/>
      <c r="GJ291" s="521"/>
      <c r="GK291" s="521"/>
      <c r="GL291" s="521"/>
      <c r="GM291" s="521"/>
      <c r="GN291" s="521"/>
      <c r="GO291" s="521"/>
      <c r="GP291" s="521"/>
      <c r="GQ291" s="521"/>
      <c r="GR291" s="521"/>
      <c r="GS291" s="521"/>
      <c r="GT291" s="521"/>
      <c r="GU291" s="521"/>
      <c r="GV291" s="521"/>
      <c r="GW291" s="521"/>
      <c r="GX291" s="521"/>
      <c r="GY291" s="521"/>
      <c r="GZ291" s="521"/>
      <c r="HA291" s="521"/>
      <c r="HB291" s="521"/>
      <c r="HC291" s="521"/>
      <c r="HD291" s="521"/>
      <c r="HE291" s="521"/>
      <c r="HF291" s="521"/>
      <c r="HG291" s="521"/>
      <c r="HH291" s="521"/>
      <c r="HI291" s="521"/>
      <c r="HJ291" s="521"/>
      <c r="HK291" s="521"/>
      <c r="HL291" s="521"/>
      <c r="HM291" s="521"/>
      <c r="HN291" s="521"/>
      <c r="HO291" s="521"/>
      <c r="HP291" s="521"/>
      <c r="HQ291" s="521"/>
      <c r="HR291" s="521"/>
      <c r="HS291" s="521"/>
      <c r="HT291" s="521"/>
      <c r="HU291" s="521"/>
      <c r="HV291" s="521"/>
      <c r="HW291" s="521"/>
      <c r="HX291" s="521"/>
      <c r="HY291" s="521"/>
      <c r="HZ291" s="521"/>
      <c r="IA291" s="521"/>
      <c r="IB291" s="521"/>
      <c r="IC291" s="521"/>
      <c r="ID291" s="521"/>
      <c r="IE291" s="521"/>
      <c r="IF291" s="521"/>
      <c r="IG291" s="521"/>
      <c r="IH291" s="521"/>
      <c r="II291" s="521"/>
      <c r="IJ291" s="521"/>
      <c r="IK291" s="521"/>
      <c r="IL291" s="521"/>
      <c r="IM291" s="521"/>
      <c r="IN291" s="521"/>
      <c r="IO291" s="521"/>
      <c r="IP291" s="521"/>
      <c r="IQ291" s="521"/>
      <c r="IR291" s="521"/>
      <c r="IS291" s="521"/>
      <c r="IT291" s="521"/>
      <c r="IU291" s="521"/>
      <c r="IV291" s="521"/>
    </row>
    <row r="292" spans="1:256" s="57" customFormat="1" ht="18">
      <c r="A292" s="508" t="s">
        <v>94</v>
      </c>
      <c r="B292" s="341"/>
      <c r="C292" s="341" t="s">
        <v>505</v>
      </c>
      <c r="D292" s="341"/>
      <c r="E292" s="341"/>
      <c r="F292" s="341"/>
      <c r="G292" s="341"/>
      <c r="H292" s="341"/>
      <c r="I292" s="341"/>
      <c r="J292" s="341"/>
      <c r="K292" s="341"/>
      <c r="L292" s="341"/>
      <c r="M292" s="508"/>
    </row>
    <row r="293" spans="1:256" s="57" customFormat="1" ht="18">
      <c r="A293" s="508" t="s">
        <v>95</v>
      </c>
      <c r="B293" s="341"/>
      <c r="C293" s="413" t="s">
        <v>295</v>
      </c>
      <c r="D293" s="341"/>
      <c r="E293" s="341"/>
      <c r="F293" s="341"/>
      <c r="G293" s="341"/>
      <c r="H293" s="341"/>
      <c r="I293" s="341"/>
      <c r="J293" s="341"/>
      <c r="K293" s="383"/>
      <c r="L293" s="383"/>
      <c r="M293" s="508"/>
    </row>
    <row r="294" spans="1:256" s="57" customFormat="1" ht="48.75" customHeight="1">
      <c r="A294" s="363"/>
      <c r="B294" s="363"/>
      <c r="C294" s="941" t="s">
        <v>508</v>
      </c>
      <c r="D294" s="941"/>
      <c r="E294" s="941"/>
      <c r="F294" s="941"/>
      <c r="G294" s="590"/>
      <c r="H294" s="590"/>
      <c r="I294" s="590"/>
      <c r="J294" s="590"/>
      <c r="K294" s="383"/>
      <c r="L294" s="383"/>
      <c r="M294" s="342"/>
    </row>
    <row r="295" spans="1:256" s="57" customFormat="1" ht="24" customHeight="1">
      <c r="A295" s="522" t="s">
        <v>233</v>
      </c>
      <c r="B295" s="363"/>
      <c r="C295" s="942" t="s">
        <v>505</v>
      </c>
      <c r="D295" s="942"/>
      <c r="E295" s="942"/>
      <c r="F295" s="942"/>
      <c r="G295" s="589"/>
      <c r="H295" s="589"/>
      <c r="I295" s="589"/>
      <c r="J295" s="589"/>
      <c r="K295" s="383"/>
      <c r="L295" s="383"/>
      <c r="M295" s="342"/>
    </row>
    <row r="296" spans="1:256" s="57" customFormat="1" ht="18">
      <c r="A296" s="523" t="s">
        <v>315</v>
      </c>
      <c r="B296" s="363"/>
      <c r="C296" s="383" t="s">
        <v>505</v>
      </c>
      <c r="D296" s="363"/>
      <c r="E296" s="363"/>
      <c r="F296" s="363"/>
      <c r="G296" s="363"/>
      <c r="H296" s="363"/>
      <c r="I296" s="363"/>
      <c r="J296" s="363"/>
      <c r="K296" s="342"/>
      <c r="L296" s="342"/>
      <c r="M296" s="342"/>
    </row>
    <row r="297" spans="1:256" s="57" customFormat="1" ht="18">
      <c r="A297" s="508" t="s">
        <v>441</v>
      </c>
      <c r="B297" s="341"/>
      <c r="C297" s="342" t="s">
        <v>666</v>
      </c>
      <c r="D297" s="383"/>
      <c r="E297" s="383"/>
      <c r="F297" s="383"/>
      <c r="G297" s="383"/>
      <c r="H297" s="383"/>
      <c r="I297" s="383"/>
      <c r="J297" s="383"/>
      <c r="K297" s="342"/>
      <c r="L297" s="342"/>
      <c r="M297" s="342"/>
    </row>
    <row r="298" spans="1:256" s="57" customFormat="1" ht="19.5" customHeight="1">
      <c r="A298" s="607" t="s">
        <v>406</v>
      </c>
      <c r="B298" s="342"/>
      <c r="C298" s="939" t="s">
        <v>671</v>
      </c>
      <c r="D298" s="939"/>
      <c r="E298" s="939"/>
      <c r="F298" s="939"/>
      <c r="G298" s="426"/>
      <c r="H298" s="426"/>
      <c r="I298" s="426"/>
      <c r="J298" s="426"/>
      <c r="K298" s="342"/>
      <c r="L298" s="342"/>
      <c r="M298" s="342"/>
    </row>
    <row r="299" spans="1:256" s="57" customFormat="1" ht="18">
      <c r="A299" s="342"/>
      <c r="B299" s="342"/>
      <c r="C299" s="383"/>
      <c r="D299" s="383"/>
      <c r="E299" s="383"/>
      <c r="F299" s="383"/>
      <c r="G299" s="383"/>
      <c r="H299" s="383"/>
      <c r="I299" s="383"/>
      <c r="J299" s="383"/>
      <c r="K299" s="342"/>
      <c r="L299" s="342"/>
      <c r="M299" s="342"/>
    </row>
    <row r="300" spans="1:256" s="57" customFormat="1" ht="18">
      <c r="A300" s="342"/>
      <c r="B300" s="342"/>
      <c r="C300" s="383"/>
      <c r="D300" s="383"/>
      <c r="E300" s="383"/>
      <c r="F300" s="383"/>
      <c r="G300" s="383"/>
      <c r="H300" s="383"/>
      <c r="I300" s="383"/>
      <c r="J300" s="383"/>
      <c r="K300" s="342"/>
      <c r="L300" s="342"/>
      <c r="M300" s="342"/>
    </row>
    <row r="301" spans="1:256" s="57" customFormat="1" ht="18">
      <c r="A301" s="342"/>
      <c r="B301" s="342"/>
      <c r="C301" s="363"/>
      <c r="D301" s="363"/>
      <c r="E301" s="385"/>
      <c r="F301" s="385"/>
      <c r="G301" s="363"/>
      <c r="H301" s="363"/>
      <c r="I301" s="342"/>
      <c r="J301" s="342"/>
      <c r="K301" s="342"/>
      <c r="L301" s="342"/>
      <c r="M301" s="342"/>
    </row>
    <row r="302" spans="1:256" s="57" customFormat="1" ht="18">
      <c r="A302" s="342"/>
      <c r="B302" s="342"/>
      <c r="C302" s="363"/>
      <c r="D302" s="363"/>
      <c r="E302" s="385"/>
      <c r="F302" s="385"/>
      <c r="G302" s="363"/>
      <c r="H302" s="394"/>
      <c r="I302" s="342"/>
      <c r="J302" s="342"/>
      <c r="K302" s="342"/>
      <c r="L302" s="342"/>
      <c r="M302" s="342"/>
    </row>
    <row r="303" spans="1:256" s="57" customFormat="1" ht="18">
      <c r="A303" s="342"/>
      <c r="B303" s="342"/>
      <c r="C303" s="363"/>
      <c r="D303" s="363"/>
      <c r="E303" s="385"/>
      <c r="F303" s="385"/>
      <c r="G303" s="363"/>
      <c r="H303" s="510"/>
      <c r="I303" s="342"/>
      <c r="J303" s="342"/>
      <c r="K303" s="342"/>
      <c r="L303" s="342"/>
      <c r="M303" s="342"/>
    </row>
    <row r="304" spans="1:256" s="57" customFormat="1" ht="18">
      <c r="A304" s="342"/>
      <c r="B304" s="342"/>
      <c r="C304" s="363"/>
      <c r="D304" s="363"/>
      <c r="E304" s="385"/>
      <c r="F304" s="385"/>
      <c r="G304" s="363"/>
      <c r="H304" s="511"/>
      <c r="I304" s="342"/>
      <c r="J304" s="342"/>
      <c r="K304" s="342"/>
      <c r="L304" s="342"/>
      <c r="M304" s="342"/>
    </row>
    <row r="305" spans="1:13" s="57" customFormat="1" ht="18">
      <c r="A305" s="342"/>
      <c r="B305" s="342"/>
      <c r="C305" s="342"/>
      <c r="D305" s="342"/>
      <c r="E305" s="342"/>
      <c r="F305" s="342"/>
      <c r="G305" s="342"/>
      <c r="H305" s="342"/>
      <c r="I305" s="342"/>
      <c r="J305" s="342"/>
      <c r="K305" s="342"/>
      <c r="L305" s="342"/>
      <c r="M305" s="342"/>
    </row>
    <row r="306" spans="1:13" s="57" customFormat="1" ht="18">
      <c r="A306" s="342"/>
      <c r="B306" s="342"/>
      <c r="C306" s="342"/>
      <c r="D306" s="342"/>
      <c r="E306" s="342"/>
      <c r="F306" s="342"/>
      <c r="G306" s="342"/>
      <c r="H306" s="342"/>
      <c r="I306" s="342"/>
      <c r="J306" s="342"/>
      <c r="K306" s="342"/>
      <c r="L306" s="342"/>
      <c r="M306" s="342"/>
    </row>
    <row r="307" spans="1:13" s="57" customFormat="1" ht="18">
      <c r="A307" s="342"/>
      <c r="B307" s="342"/>
      <c r="C307" s="342"/>
      <c r="D307" s="342"/>
      <c r="E307" s="342"/>
      <c r="F307" s="342"/>
      <c r="G307" s="342"/>
      <c r="H307" s="342"/>
      <c r="I307" s="342"/>
      <c r="J307" s="342"/>
      <c r="K307" s="342"/>
      <c r="L307" s="342"/>
      <c r="M307" s="342"/>
    </row>
    <row r="308" spans="1:13" s="57" customFormat="1" ht="18">
      <c r="A308" s="342"/>
      <c r="B308" s="342"/>
      <c r="C308" s="342"/>
      <c r="D308" s="342"/>
      <c r="E308" s="342"/>
      <c r="F308" s="342"/>
      <c r="G308" s="342"/>
      <c r="H308" s="342"/>
      <c r="I308" s="342"/>
      <c r="J308" s="342"/>
      <c r="K308" s="342"/>
      <c r="L308" s="342"/>
      <c r="M308" s="342"/>
    </row>
    <row r="309" spans="1:13" s="57" customFormat="1" ht="18">
      <c r="A309" s="342"/>
      <c r="B309" s="342"/>
      <c r="C309" s="342"/>
      <c r="D309" s="342"/>
      <c r="E309" s="342"/>
      <c r="F309" s="342"/>
      <c r="G309" s="342"/>
      <c r="H309" s="342"/>
      <c r="I309" s="342"/>
      <c r="J309" s="342"/>
      <c r="K309" s="342"/>
      <c r="L309" s="342"/>
      <c r="M309" s="342"/>
    </row>
    <row r="310" spans="1:13" s="57" customFormat="1" ht="18">
      <c r="A310" s="342"/>
      <c r="B310" s="342"/>
      <c r="C310" s="342"/>
      <c r="D310" s="342"/>
      <c r="E310" s="342"/>
      <c r="F310" s="342"/>
      <c r="G310" s="342"/>
      <c r="H310" s="342"/>
      <c r="I310" s="342"/>
      <c r="J310" s="342"/>
      <c r="K310" s="342"/>
      <c r="L310" s="342"/>
      <c r="M310" s="342"/>
    </row>
    <row r="311" spans="1:13" s="57" customFormat="1" ht="18">
      <c r="A311" s="342"/>
      <c r="B311" s="342"/>
      <c r="C311" s="342"/>
      <c r="D311" s="342"/>
      <c r="E311" s="342"/>
      <c r="F311" s="342"/>
      <c r="G311" s="342"/>
      <c r="H311" s="342"/>
      <c r="I311" s="342"/>
      <c r="J311" s="342"/>
      <c r="K311" s="342"/>
      <c r="L311" s="342"/>
      <c r="M311" s="342"/>
    </row>
    <row r="312" spans="1:13" s="57" customFormat="1" ht="18">
      <c r="A312" s="342"/>
      <c r="B312" s="342"/>
      <c r="C312" s="342"/>
      <c r="D312" s="342"/>
      <c r="E312" s="342"/>
      <c r="F312" s="342"/>
      <c r="G312" s="342"/>
      <c r="H312" s="342"/>
      <c r="I312" s="342"/>
      <c r="J312" s="342"/>
      <c r="K312" s="342"/>
      <c r="L312" s="342"/>
      <c r="M312" s="342"/>
    </row>
    <row r="313" spans="1:13" s="57" customFormat="1" ht="18">
      <c r="A313" s="342"/>
      <c r="B313" s="342"/>
      <c r="C313" s="342"/>
      <c r="D313" s="342"/>
      <c r="E313" s="342"/>
      <c r="F313" s="342"/>
      <c r="G313" s="342"/>
      <c r="H313" s="342"/>
      <c r="I313" s="342"/>
      <c r="J313" s="342"/>
      <c r="K313" s="342"/>
      <c r="L313" s="342"/>
      <c r="M313" s="342"/>
    </row>
    <row r="314" spans="1:13" s="57" customFormat="1" ht="18">
      <c r="A314" s="342"/>
      <c r="B314" s="342"/>
      <c r="C314" s="342"/>
      <c r="D314" s="342"/>
      <c r="E314" s="342"/>
      <c r="F314" s="342"/>
      <c r="G314" s="342"/>
      <c r="H314" s="342"/>
      <c r="I314" s="342"/>
      <c r="J314" s="342"/>
      <c r="K314" s="342"/>
      <c r="L314" s="342"/>
      <c r="M314" s="342"/>
    </row>
    <row r="315" spans="1:13" s="57" customFormat="1" ht="18">
      <c r="A315" s="342"/>
      <c r="B315" s="342"/>
      <c r="C315" s="342"/>
      <c r="D315" s="342"/>
      <c r="E315" s="342"/>
      <c r="F315" s="342"/>
      <c r="G315" s="342"/>
      <c r="H315" s="342"/>
      <c r="I315" s="342"/>
      <c r="J315" s="342"/>
      <c r="K315" s="342"/>
      <c r="L315" s="342"/>
      <c r="M315" s="342"/>
    </row>
    <row r="316" spans="1:13" s="57" customFormat="1" ht="18">
      <c r="A316" s="342"/>
      <c r="B316" s="342"/>
      <c r="C316" s="342"/>
      <c r="D316" s="342"/>
      <c r="E316" s="342"/>
      <c r="F316" s="342"/>
      <c r="G316" s="342"/>
      <c r="H316" s="342"/>
      <c r="I316" s="342"/>
      <c r="J316" s="342"/>
      <c r="K316" s="342"/>
      <c r="L316" s="342"/>
      <c r="M316" s="342"/>
    </row>
    <row r="317" spans="1:13" s="57" customFormat="1" ht="18">
      <c r="A317" s="342"/>
      <c r="B317" s="342"/>
      <c r="C317" s="342"/>
      <c r="D317" s="342"/>
      <c r="E317" s="342"/>
      <c r="F317" s="342"/>
      <c r="G317" s="342"/>
      <c r="H317" s="342"/>
      <c r="I317" s="342"/>
      <c r="J317" s="342"/>
      <c r="K317" s="342"/>
      <c r="L317" s="342"/>
      <c r="M317" s="342"/>
    </row>
    <row r="318" spans="1:13" s="57" customFormat="1" ht="18">
      <c r="A318" s="342"/>
      <c r="B318" s="342"/>
      <c r="C318" s="342"/>
      <c r="D318" s="342"/>
      <c r="E318" s="342"/>
      <c r="F318" s="342"/>
      <c r="G318" s="342"/>
      <c r="H318" s="342"/>
      <c r="I318" s="342"/>
      <c r="J318" s="342"/>
      <c r="K318" s="342"/>
      <c r="L318" s="342"/>
      <c r="M318" s="342"/>
    </row>
    <row r="319" spans="1:13" s="57" customFormat="1" ht="18">
      <c r="A319" s="342"/>
      <c r="B319" s="342"/>
      <c r="C319" s="342"/>
      <c r="D319" s="342"/>
      <c r="E319" s="342"/>
      <c r="F319" s="342"/>
      <c r="G319" s="342"/>
      <c r="H319" s="342"/>
      <c r="I319" s="342"/>
      <c r="J319" s="342"/>
      <c r="K319" s="342"/>
      <c r="L319" s="342"/>
      <c r="M319" s="342"/>
    </row>
    <row r="320" spans="1:13" s="57" customFormat="1" ht="18">
      <c r="A320" s="342"/>
      <c r="B320" s="342"/>
      <c r="C320" s="342"/>
      <c r="D320" s="342"/>
      <c r="E320" s="342"/>
      <c r="F320" s="342"/>
      <c r="G320" s="342"/>
      <c r="H320" s="342"/>
      <c r="I320" s="342"/>
      <c r="J320" s="342"/>
      <c r="K320" s="342"/>
      <c r="L320" s="342"/>
      <c r="M320" s="342"/>
    </row>
    <row r="321" spans="1:13" s="57" customFormat="1" ht="18">
      <c r="A321" s="342"/>
      <c r="B321" s="342"/>
      <c r="C321" s="342"/>
      <c r="D321" s="342"/>
      <c r="E321" s="342"/>
      <c r="F321" s="342"/>
      <c r="G321" s="342"/>
      <c r="H321" s="342"/>
      <c r="I321" s="342"/>
      <c r="J321" s="342"/>
      <c r="K321" s="342"/>
      <c r="L321" s="342"/>
      <c r="M321" s="342"/>
    </row>
    <row r="322" spans="1:13" s="57" customFormat="1" ht="18">
      <c r="A322" s="342"/>
      <c r="B322" s="342"/>
      <c r="C322" s="342"/>
      <c r="D322" s="342"/>
      <c r="E322" s="342"/>
      <c r="F322" s="342"/>
      <c r="G322" s="342"/>
      <c r="H322" s="342"/>
      <c r="I322" s="342"/>
      <c r="J322" s="342"/>
      <c r="K322" s="342"/>
      <c r="L322" s="342"/>
      <c r="M322" s="342"/>
    </row>
    <row r="323" spans="1:13" s="57" customFormat="1" ht="18">
      <c r="A323" s="342"/>
      <c r="B323" s="342"/>
      <c r="C323" s="342"/>
      <c r="D323" s="342"/>
      <c r="E323" s="342"/>
      <c r="F323" s="342"/>
      <c r="G323" s="342"/>
      <c r="H323" s="342"/>
      <c r="I323" s="342"/>
      <c r="J323" s="342"/>
      <c r="K323" s="342"/>
      <c r="L323" s="342"/>
      <c r="M323" s="342"/>
    </row>
    <row r="324" spans="1:13" s="57" customFormat="1" ht="18">
      <c r="A324" s="342"/>
      <c r="B324" s="342"/>
      <c r="C324" s="342"/>
      <c r="D324" s="342"/>
      <c r="E324" s="342"/>
      <c r="F324" s="342"/>
      <c r="G324" s="342"/>
      <c r="H324" s="342"/>
      <c r="I324" s="342"/>
      <c r="J324" s="342"/>
      <c r="K324" s="342"/>
      <c r="L324" s="342"/>
      <c r="M324" s="342"/>
    </row>
    <row r="325" spans="1:13" s="57" customFormat="1" ht="18">
      <c r="A325" s="342"/>
      <c r="B325" s="342"/>
      <c r="C325" s="342"/>
      <c r="D325" s="342"/>
      <c r="E325" s="342"/>
      <c r="F325" s="342"/>
      <c r="G325" s="342"/>
      <c r="H325" s="342"/>
      <c r="I325" s="342"/>
      <c r="J325" s="342"/>
      <c r="K325" s="342"/>
      <c r="L325" s="342"/>
      <c r="M325" s="342"/>
    </row>
    <row r="326" spans="1:13" s="57" customFormat="1" ht="18">
      <c r="A326" s="342"/>
      <c r="B326" s="342"/>
      <c r="C326" s="342"/>
      <c r="D326" s="342"/>
      <c r="E326" s="342"/>
      <c r="F326" s="342"/>
      <c r="G326" s="342"/>
      <c r="H326" s="342"/>
      <c r="I326" s="342"/>
      <c r="J326" s="342"/>
      <c r="K326" s="342"/>
      <c r="L326" s="342"/>
      <c r="M326" s="342"/>
    </row>
    <row r="327" spans="1:13" s="57" customFormat="1" ht="18">
      <c r="A327" s="342"/>
      <c r="B327" s="342"/>
      <c r="C327" s="342"/>
      <c r="D327" s="342"/>
      <c r="E327" s="342"/>
      <c r="F327" s="342"/>
      <c r="G327" s="342"/>
      <c r="H327" s="342"/>
      <c r="I327" s="342"/>
      <c r="J327" s="342"/>
      <c r="K327" s="342"/>
      <c r="L327" s="342"/>
      <c r="M327" s="342"/>
    </row>
    <row r="328" spans="1:13" s="57" customFormat="1" ht="18">
      <c r="A328" s="342"/>
      <c r="B328" s="342"/>
      <c r="C328" s="342"/>
      <c r="D328" s="342"/>
      <c r="E328" s="342"/>
      <c r="F328" s="342"/>
      <c r="G328" s="342"/>
      <c r="H328" s="342"/>
      <c r="I328" s="342"/>
      <c r="J328" s="342"/>
      <c r="K328" s="342"/>
      <c r="L328" s="342"/>
      <c r="M328" s="342"/>
    </row>
    <row r="329" spans="1:13" s="57" customFormat="1" ht="18">
      <c r="A329" s="342"/>
      <c r="B329" s="342"/>
      <c r="C329" s="342"/>
      <c r="D329" s="342"/>
      <c r="E329" s="342"/>
      <c r="F329" s="342"/>
      <c r="G329" s="342"/>
      <c r="H329" s="342"/>
      <c r="I329" s="342"/>
      <c r="J329" s="342"/>
      <c r="K329" s="342"/>
      <c r="L329" s="342"/>
      <c r="M329" s="342"/>
    </row>
    <row r="330" spans="1:13" s="57" customFormat="1" ht="18">
      <c r="A330" s="342"/>
      <c r="B330" s="342"/>
      <c r="C330" s="342"/>
      <c r="D330" s="342"/>
      <c r="E330" s="342"/>
      <c r="F330" s="342"/>
      <c r="G330" s="342"/>
      <c r="H330" s="342"/>
      <c r="I330" s="342"/>
      <c r="J330" s="342"/>
      <c r="K330" s="342"/>
      <c r="L330" s="342"/>
      <c r="M330" s="342"/>
    </row>
    <row r="331" spans="1:13" s="57" customFormat="1" ht="18">
      <c r="A331" s="342"/>
      <c r="B331" s="342"/>
      <c r="C331" s="342"/>
      <c r="D331" s="342"/>
      <c r="E331" s="342"/>
      <c r="F331" s="342"/>
      <c r="G331" s="342"/>
      <c r="H331" s="342"/>
      <c r="I331" s="342"/>
      <c r="J331" s="342"/>
      <c r="K331" s="342"/>
      <c r="L331" s="342"/>
      <c r="M331" s="342"/>
    </row>
    <row r="332" spans="1:13" s="57" customFormat="1" ht="18">
      <c r="A332" s="342"/>
      <c r="B332" s="342"/>
      <c r="C332" s="342"/>
      <c r="D332" s="342"/>
      <c r="E332" s="342"/>
      <c r="F332" s="342"/>
      <c r="G332" s="342"/>
      <c r="H332" s="342"/>
      <c r="I332" s="342"/>
      <c r="J332" s="342"/>
      <c r="K332" s="342"/>
      <c r="L332" s="342"/>
      <c r="M332" s="342"/>
    </row>
    <row r="333" spans="1:13" s="57" customFormat="1" ht="18">
      <c r="A333" s="342"/>
      <c r="B333" s="342"/>
      <c r="C333" s="342"/>
      <c r="D333" s="342"/>
      <c r="E333" s="342"/>
      <c r="F333" s="342"/>
      <c r="G333" s="342"/>
      <c r="H333" s="342"/>
      <c r="I333" s="342"/>
      <c r="J333" s="342"/>
      <c r="K333" s="342"/>
      <c r="L333" s="342"/>
      <c r="M333" s="342"/>
    </row>
    <row r="334" spans="1:13" s="57" customFormat="1" ht="18">
      <c r="A334" s="342"/>
      <c r="B334" s="342"/>
      <c r="C334" s="342"/>
      <c r="D334" s="342"/>
      <c r="E334" s="342"/>
      <c r="F334" s="342"/>
      <c r="G334" s="342"/>
      <c r="H334" s="342"/>
      <c r="I334" s="342"/>
      <c r="J334" s="342"/>
      <c r="K334" s="342"/>
      <c r="L334" s="342"/>
      <c r="M334" s="342"/>
    </row>
    <row r="335" spans="1:13" s="57" customFormat="1" ht="18">
      <c r="A335" s="342"/>
      <c r="B335" s="342"/>
      <c r="C335" s="342"/>
      <c r="D335" s="342"/>
      <c r="E335" s="342"/>
      <c r="F335" s="342"/>
      <c r="G335" s="342"/>
      <c r="H335" s="342"/>
      <c r="I335" s="342"/>
      <c r="J335" s="342"/>
      <c r="K335" s="342"/>
      <c r="L335" s="342"/>
      <c r="M335" s="342"/>
    </row>
    <row r="336" spans="1:13" s="57" customFormat="1" ht="18">
      <c r="A336" s="342"/>
      <c r="B336" s="342"/>
      <c r="C336" s="342"/>
      <c r="D336" s="342"/>
      <c r="E336" s="342"/>
      <c r="F336" s="342"/>
      <c r="G336" s="342"/>
      <c r="H336" s="342"/>
      <c r="I336" s="342"/>
      <c r="J336" s="342"/>
      <c r="K336" s="342"/>
      <c r="L336" s="342"/>
      <c r="M336" s="342"/>
    </row>
    <row r="337" spans="1:13" s="57" customFormat="1" ht="18">
      <c r="A337" s="342"/>
      <c r="B337" s="342"/>
      <c r="C337" s="342"/>
      <c r="D337" s="342"/>
      <c r="E337" s="342"/>
      <c r="F337" s="342"/>
      <c r="G337" s="342"/>
      <c r="H337" s="342"/>
      <c r="I337" s="342"/>
      <c r="J337" s="342"/>
      <c r="K337" s="342"/>
      <c r="L337" s="342"/>
      <c r="M337" s="342"/>
    </row>
    <row r="338" spans="1:13" s="57" customFormat="1" ht="18">
      <c r="A338" s="342"/>
      <c r="B338" s="342"/>
      <c r="C338" s="342"/>
      <c r="D338" s="342"/>
      <c r="E338" s="342"/>
      <c r="F338" s="342"/>
      <c r="G338" s="342"/>
      <c r="H338" s="342"/>
      <c r="I338" s="342"/>
      <c r="J338" s="342"/>
      <c r="K338" s="342"/>
      <c r="L338" s="342"/>
      <c r="M338" s="342"/>
    </row>
    <row r="339" spans="1:13" s="57" customFormat="1" ht="18">
      <c r="A339" s="342"/>
      <c r="B339" s="342"/>
      <c r="C339" s="342"/>
      <c r="D339" s="342"/>
      <c r="E339" s="342"/>
      <c r="F339" s="342"/>
      <c r="G339" s="342"/>
      <c r="H339" s="342"/>
      <c r="I339" s="342"/>
      <c r="J339" s="342"/>
      <c r="K339" s="342"/>
      <c r="L339" s="342"/>
      <c r="M339" s="342"/>
    </row>
    <row r="340" spans="1:13" s="57" customFormat="1" ht="18">
      <c r="A340" s="342"/>
      <c r="B340" s="342"/>
      <c r="C340" s="342"/>
      <c r="D340" s="342"/>
      <c r="E340" s="342"/>
      <c r="F340" s="342"/>
      <c r="G340" s="342"/>
      <c r="H340" s="342"/>
      <c r="I340" s="342"/>
      <c r="J340" s="342"/>
      <c r="K340" s="342"/>
      <c r="L340" s="342"/>
      <c r="M340" s="342"/>
    </row>
    <row r="341" spans="1:13" s="57" customFormat="1" ht="18">
      <c r="A341" s="342"/>
      <c r="B341" s="342"/>
      <c r="C341" s="342"/>
      <c r="D341" s="342"/>
      <c r="E341" s="342"/>
      <c r="F341" s="342"/>
      <c r="G341" s="342"/>
      <c r="H341" s="342"/>
      <c r="I341" s="342"/>
      <c r="J341" s="342"/>
      <c r="K341" s="342"/>
      <c r="L341" s="342"/>
      <c r="M341" s="342"/>
    </row>
    <row r="342" spans="1:13" s="57" customFormat="1" ht="18">
      <c r="A342" s="342"/>
      <c r="B342" s="342"/>
      <c r="C342" s="342"/>
      <c r="D342" s="342"/>
      <c r="E342" s="342"/>
      <c r="F342" s="342"/>
      <c r="G342" s="342"/>
      <c r="H342" s="342"/>
      <c r="I342" s="342"/>
      <c r="J342" s="342"/>
      <c r="K342" s="342"/>
      <c r="L342" s="342"/>
      <c r="M342" s="342"/>
    </row>
    <row r="343" spans="1:13" s="57" customFormat="1" ht="18">
      <c r="A343" s="342"/>
      <c r="B343" s="342"/>
      <c r="C343" s="342"/>
      <c r="D343" s="342"/>
      <c r="E343" s="342"/>
      <c r="F343" s="342"/>
      <c r="G343" s="342"/>
      <c r="H343" s="342"/>
      <c r="I343" s="342"/>
      <c r="J343" s="342"/>
      <c r="K343" s="342"/>
      <c r="L343" s="342"/>
      <c r="M343" s="342"/>
    </row>
    <row r="344" spans="1:13" s="57" customFormat="1" ht="18">
      <c r="A344" s="342"/>
      <c r="B344" s="342"/>
      <c r="C344" s="342"/>
      <c r="D344" s="342"/>
      <c r="E344" s="342"/>
      <c r="F344" s="342"/>
      <c r="G344" s="342"/>
      <c r="H344" s="342"/>
      <c r="I344" s="342"/>
      <c r="J344" s="342"/>
      <c r="K344" s="342"/>
      <c r="L344" s="342"/>
      <c r="M344" s="342"/>
    </row>
    <row r="345" spans="1:13" s="57" customFormat="1" ht="18">
      <c r="A345" s="342"/>
      <c r="B345" s="342"/>
      <c r="C345" s="342"/>
      <c r="D345" s="342"/>
      <c r="E345" s="342"/>
      <c r="F345" s="342"/>
      <c r="G345" s="342"/>
      <c r="H345" s="342"/>
      <c r="I345" s="342"/>
      <c r="J345" s="342"/>
      <c r="K345" s="342"/>
      <c r="L345" s="342"/>
      <c r="M345" s="342"/>
    </row>
    <row r="346" spans="1:13" s="57" customFormat="1" ht="18">
      <c r="A346" s="342"/>
      <c r="B346" s="342"/>
      <c r="C346" s="342"/>
      <c r="D346" s="342"/>
      <c r="E346" s="342"/>
      <c r="F346" s="342"/>
      <c r="G346" s="342"/>
      <c r="H346" s="342"/>
      <c r="I346" s="342"/>
      <c r="J346" s="342"/>
      <c r="K346" s="342"/>
      <c r="L346" s="342"/>
      <c r="M346" s="342"/>
    </row>
    <row r="347" spans="1:13" s="57" customFormat="1" ht="18">
      <c r="A347" s="342"/>
      <c r="B347" s="342"/>
      <c r="C347" s="342"/>
      <c r="D347" s="342"/>
      <c r="E347" s="342"/>
      <c r="F347" s="342"/>
      <c r="G347" s="342"/>
      <c r="H347" s="342"/>
      <c r="I347" s="342"/>
      <c r="J347" s="342"/>
      <c r="K347" s="342"/>
      <c r="L347" s="342"/>
      <c r="M347" s="342"/>
    </row>
    <row r="348" spans="1:13" s="57" customFormat="1" ht="18">
      <c r="A348" s="342"/>
      <c r="B348" s="342"/>
      <c r="C348" s="342"/>
      <c r="D348" s="342"/>
      <c r="E348" s="342"/>
      <c r="F348" s="342"/>
      <c r="G348" s="342"/>
      <c r="H348" s="342"/>
      <c r="I348" s="342"/>
      <c r="J348" s="342"/>
      <c r="K348" s="342"/>
      <c r="L348" s="342"/>
      <c r="M348" s="342"/>
    </row>
    <row r="349" spans="1:13" s="57" customFormat="1" ht="18">
      <c r="A349" s="342"/>
      <c r="B349" s="342"/>
      <c r="C349" s="342"/>
      <c r="D349" s="342"/>
      <c r="E349" s="342"/>
      <c r="F349" s="342"/>
      <c r="G349" s="342"/>
      <c r="H349" s="342"/>
      <c r="I349" s="342"/>
      <c r="J349" s="342"/>
      <c r="K349" s="342"/>
      <c r="L349" s="342"/>
      <c r="M349" s="342"/>
    </row>
    <row r="350" spans="1:13" s="57" customFormat="1" ht="18">
      <c r="A350" s="342"/>
      <c r="B350" s="342"/>
      <c r="C350" s="342"/>
      <c r="D350" s="342"/>
      <c r="E350" s="342"/>
      <c r="F350" s="342"/>
      <c r="G350" s="342"/>
      <c r="H350" s="342"/>
      <c r="I350" s="342"/>
      <c r="J350" s="342"/>
      <c r="K350" s="342"/>
      <c r="L350" s="342"/>
      <c r="M350" s="342"/>
    </row>
    <row r="351" spans="1:13" s="57" customFormat="1" ht="18">
      <c r="A351" s="342"/>
      <c r="B351" s="342"/>
      <c r="C351" s="342"/>
      <c r="D351" s="342"/>
      <c r="E351" s="342"/>
      <c r="F351" s="342"/>
      <c r="G351" s="342"/>
      <c r="H351" s="342"/>
      <c r="I351" s="342"/>
      <c r="J351" s="342"/>
      <c r="K351" s="342"/>
      <c r="L351" s="342"/>
      <c r="M351" s="342"/>
    </row>
    <row r="352" spans="1:13" s="57" customFormat="1" ht="18">
      <c r="A352" s="342"/>
      <c r="B352" s="342"/>
      <c r="C352" s="342"/>
      <c r="D352" s="342"/>
      <c r="E352" s="342"/>
      <c r="F352" s="342"/>
      <c r="G352" s="342"/>
      <c r="H352" s="342"/>
      <c r="I352" s="342"/>
      <c r="J352" s="342"/>
      <c r="K352" s="342"/>
      <c r="L352" s="342"/>
      <c r="M352" s="342"/>
    </row>
    <row r="353" spans="1:13" s="57" customFormat="1" ht="18">
      <c r="A353" s="342"/>
      <c r="B353" s="342"/>
      <c r="C353" s="342"/>
      <c r="D353" s="342"/>
      <c r="E353" s="342"/>
      <c r="F353" s="342"/>
      <c r="G353" s="342"/>
      <c r="H353" s="342"/>
      <c r="I353" s="342"/>
      <c r="J353" s="342"/>
      <c r="K353" s="342"/>
      <c r="L353" s="342"/>
      <c r="M353" s="342"/>
    </row>
    <row r="354" spans="1:13" s="57" customFormat="1" ht="18">
      <c r="A354" s="342"/>
      <c r="B354" s="342"/>
      <c r="C354" s="342"/>
      <c r="D354" s="342"/>
      <c r="E354" s="342"/>
      <c r="F354" s="342"/>
      <c r="G354" s="342"/>
      <c r="H354" s="342"/>
      <c r="I354" s="342"/>
      <c r="J354" s="342"/>
      <c r="K354" s="342"/>
      <c r="L354" s="342"/>
      <c r="M354" s="342"/>
    </row>
    <row r="355" spans="1:13" s="57" customFormat="1" ht="18">
      <c r="A355" s="342"/>
      <c r="B355" s="342"/>
      <c r="C355" s="342"/>
      <c r="D355" s="342"/>
      <c r="E355" s="342"/>
      <c r="F355" s="342"/>
      <c r="G355" s="342"/>
      <c r="H355" s="342"/>
      <c r="I355" s="342"/>
      <c r="J355" s="342"/>
      <c r="K355" s="342"/>
      <c r="L355" s="342"/>
      <c r="M355" s="342"/>
    </row>
    <row r="356" spans="1:13" s="57" customFormat="1" ht="18">
      <c r="A356" s="342"/>
      <c r="B356" s="342"/>
      <c r="C356" s="342"/>
      <c r="D356" s="342"/>
      <c r="E356" s="342"/>
      <c r="F356" s="342"/>
      <c r="G356" s="342"/>
      <c r="H356" s="342"/>
      <c r="I356" s="342"/>
      <c r="J356" s="342"/>
      <c r="K356" s="342"/>
      <c r="L356" s="342"/>
      <c r="M356" s="342"/>
    </row>
    <row r="357" spans="1:13" s="57" customFormat="1" ht="18">
      <c r="A357" s="342"/>
      <c r="B357" s="342"/>
      <c r="C357" s="342"/>
      <c r="D357" s="342"/>
      <c r="E357" s="342"/>
      <c r="F357" s="342"/>
      <c r="G357" s="342"/>
      <c r="H357" s="342"/>
      <c r="I357" s="342"/>
      <c r="J357" s="342"/>
    </row>
    <row r="358" spans="1:13" s="57" customFormat="1" ht="18">
      <c r="A358" s="342"/>
      <c r="B358" s="342"/>
      <c r="C358" s="342"/>
      <c r="D358" s="342"/>
      <c r="E358" s="342"/>
      <c r="F358" s="342"/>
      <c r="G358" s="342"/>
      <c r="H358" s="342"/>
      <c r="I358" s="342"/>
      <c r="J358" s="342"/>
    </row>
    <row r="359" spans="1:13" s="57" customFormat="1" ht="18">
      <c r="A359" s="342"/>
      <c r="B359" s="342"/>
      <c r="C359" s="342"/>
      <c r="D359" s="342"/>
      <c r="E359" s="342"/>
      <c r="F359" s="342"/>
      <c r="G359" s="342"/>
      <c r="H359" s="342"/>
      <c r="I359" s="342"/>
      <c r="J359" s="342"/>
    </row>
    <row r="360" spans="1:13" s="57" customFormat="1" ht="18">
      <c r="A360" s="342"/>
      <c r="B360" s="342"/>
      <c r="C360" s="342"/>
      <c r="D360" s="342"/>
      <c r="E360" s="342"/>
      <c r="F360" s="342"/>
      <c r="G360" s="342"/>
      <c r="H360" s="342"/>
      <c r="I360" s="342"/>
      <c r="J360" s="342"/>
    </row>
    <row r="361" spans="1:13" s="57" customFormat="1" ht="18">
      <c r="A361" s="342"/>
      <c r="B361" s="342"/>
      <c r="C361" s="342"/>
      <c r="D361" s="342"/>
      <c r="E361" s="342"/>
      <c r="F361" s="342"/>
      <c r="G361" s="342"/>
      <c r="H361" s="342"/>
      <c r="I361" s="342"/>
      <c r="J361" s="342"/>
    </row>
    <row r="362" spans="1:13" s="57" customFormat="1" ht="18">
      <c r="A362" s="342"/>
      <c r="B362" s="342"/>
      <c r="C362" s="342"/>
      <c r="D362" s="342"/>
      <c r="E362" s="342"/>
      <c r="F362" s="342"/>
      <c r="G362" s="342"/>
      <c r="H362" s="342"/>
      <c r="I362" s="342"/>
      <c r="J362" s="342"/>
    </row>
    <row r="363" spans="1:13" s="57" customFormat="1" ht="18">
      <c r="A363" s="342"/>
      <c r="B363" s="342"/>
      <c r="C363" s="342"/>
      <c r="D363" s="342"/>
      <c r="E363" s="342"/>
      <c r="F363" s="342"/>
      <c r="G363" s="342"/>
      <c r="H363" s="342"/>
      <c r="I363" s="342"/>
      <c r="J363" s="342"/>
    </row>
    <row r="364" spans="1:13" s="57" customFormat="1" ht="18"/>
    <row r="365" spans="1:13" s="57" customFormat="1" ht="18"/>
    <row r="366" spans="1:13" s="57" customFormat="1" ht="18"/>
    <row r="367" spans="1:13" s="57" customFormat="1" ht="18"/>
    <row r="368" spans="1:13" s="57" customFormat="1" ht="18"/>
    <row r="369" s="57" customFormat="1" ht="18"/>
    <row r="370" s="57" customFormat="1" ht="18"/>
    <row r="371" s="57" customFormat="1" ht="18"/>
    <row r="372" s="57" customFormat="1" ht="18"/>
    <row r="373" s="57" customFormat="1" ht="18"/>
    <row r="374" s="57" customFormat="1" ht="18"/>
    <row r="375" s="57" customFormat="1" ht="18"/>
    <row r="376" s="57" customFormat="1" ht="18"/>
    <row r="377" s="57" customFormat="1" ht="18"/>
    <row r="378" s="57" customFormat="1" ht="18"/>
    <row r="379" s="57" customFormat="1" ht="18"/>
    <row r="380" s="57" customFormat="1" ht="18"/>
    <row r="381" s="57" customFormat="1" ht="18"/>
    <row r="382" s="57" customFormat="1" ht="18"/>
    <row r="383" s="57" customFormat="1" ht="18"/>
    <row r="384" s="57" customFormat="1" ht="18"/>
    <row r="385" s="57" customFormat="1" ht="18"/>
    <row r="386" s="57" customFormat="1" ht="18"/>
    <row r="387" s="57" customFormat="1" ht="18"/>
    <row r="388" s="57" customFormat="1" ht="18"/>
    <row r="389" s="57" customFormat="1" ht="18"/>
    <row r="390" s="57" customFormat="1" ht="18"/>
    <row r="391" s="57" customFormat="1" ht="18"/>
    <row r="392" s="57" customFormat="1" ht="18"/>
    <row r="393" s="57" customFormat="1" ht="18"/>
    <row r="394" s="57" customFormat="1" ht="18"/>
    <row r="395" s="57" customFormat="1" ht="18"/>
    <row r="396" s="57" customFormat="1" ht="18"/>
    <row r="397" s="57" customFormat="1" ht="18"/>
    <row r="398" s="57" customFormat="1" ht="18"/>
    <row r="399" s="57" customFormat="1" ht="18"/>
    <row r="400" s="57" customFormat="1" ht="18"/>
    <row r="401" spans="1:17" s="57" customFormat="1" ht="18"/>
    <row r="402" spans="1:17" s="57" customFormat="1" ht="18"/>
    <row r="403" spans="1:17" s="57" customFormat="1" ht="18"/>
    <row r="404" spans="1:17" s="57" customFormat="1" ht="18"/>
    <row r="405" spans="1:17" s="57" customFormat="1" ht="18"/>
    <row r="406" spans="1:17" s="57" customFormat="1" ht="18"/>
    <row r="407" spans="1:17" s="57" customFormat="1" ht="18"/>
    <row r="408" spans="1:17" s="57" customFormat="1" ht="18"/>
    <row r="409" spans="1:17" s="57" customFormat="1" ht="18"/>
    <row r="410" spans="1:17" s="57" customFormat="1" ht="18"/>
    <row r="411" spans="1:17" s="57" customFormat="1" ht="18"/>
    <row r="412" spans="1:17" s="57" customFormat="1" ht="18"/>
    <row r="413" spans="1:17" s="57" customFormat="1" ht="18"/>
    <row r="414" spans="1:17" ht="18">
      <c r="A414" s="57"/>
      <c r="B414" s="57"/>
      <c r="C414" s="57"/>
      <c r="D414" s="57"/>
      <c r="E414" s="57"/>
      <c r="F414" s="57"/>
      <c r="G414" s="57"/>
      <c r="H414" s="57"/>
      <c r="I414" s="57"/>
      <c r="J414" s="57"/>
      <c r="K414" s="48"/>
      <c r="L414" s="48"/>
      <c r="M414" s="48"/>
      <c r="N414" s="48"/>
      <c r="O414" s="48"/>
      <c r="P414" s="48"/>
      <c r="Q414" s="48"/>
    </row>
    <row r="415" spans="1:17" ht="18">
      <c r="A415" s="57"/>
      <c r="B415" s="57"/>
      <c r="C415" s="57"/>
      <c r="D415" s="57"/>
      <c r="E415" s="57"/>
      <c r="F415" s="57"/>
      <c r="G415" s="57"/>
      <c r="H415" s="57"/>
      <c r="I415" s="57"/>
      <c r="J415" s="57"/>
      <c r="K415" s="48"/>
      <c r="L415" s="48"/>
      <c r="M415" s="48"/>
      <c r="N415" s="48"/>
      <c r="O415" s="48"/>
      <c r="P415" s="48"/>
      <c r="Q415" s="48"/>
    </row>
    <row r="416" spans="1:17" ht="18">
      <c r="A416" s="57"/>
      <c r="B416" s="57"/>
      <c r="C416" s="57"/>
      <c r="D416" s="57"/>
      <c r="E416" s="57"/>
      <c r="F416" s="57"/>
      <c r="G416" s="57"/>
      <c r="H416" s="57"/>
      <c r="I416" s="57"/>
      <c r="J416" s="57"/>
      <c r="K416" s="48"/>
      <c r="L416" s="48"/>
      <c r="M416" s="48"/>
      <c r="N416" s="48"/>
      <c r="O416" s="48"/>
      <c r="P416" s="48"/>
      <c r="Q416" s="48"/>
    </row>
    <row r="417" spans="1:17" ht="18">
      <c r="A417" s="57"/>
      <c r="B417" s="57"/>
      <c r="C417" s="57"/>
      <c r="D417" s="57"/>
      <c r="E417" s="57"/>
      <c r="F417" s="57"/>
      <c r="G417" s="57"/>
      <c r="H417" s="57"/>
      <c r="I417" s="57"/>
      <c r="J417" s="57"/>
      <c r="K417" s="48"/>
      <c r="L417" s="48"/>
      <c r="M417" s="48"/>
      <c r="N417" s="48"/>
      <c r="O417" s="48"/>
      <c r="P417" s="48"/>
      <c r="Q417" s="48"/>
    </row>
    <row r="418" spans="1:17" ht="18">
      <c r="A418" s="57"/>
      <c r="B418" s="57"/>
      <c r="C418" s="57"/>
      <c r="D418" s="57"/>
      <c r="E418" s="57"/>
      <c r="F418" s="57"/>
      <c r="G418" s="57"/>
      <c r="H418" s="57"/>
      <c r="I418" s="57"/>
      <c r="J418" s="57"/>
      <c r="K418" s="48"/>
      <c r="L418" s="48"/>
      <c r="M418" s="48"/>
      <c r="N418" s="48"/>
      <c r="O418" s="48"/>
      <c r="P418" s="48"/>
      <c r="Q418" s="48"/>
    </row>
    <row r="419" spans="1:17" ht="18">
      <c r="A419" s="57"/>
      <c r="B419" s="57"/>
      <c r="C419" s="57"/>
      <c r="D419" s="57"/>
      <c r="E419" s="57"/>
      <c r="F419" s="57"/>
      <c r="G419" s="57"/>
      <c r="H419" s="57"/>
      <c r="I419" s="57"/>
      <c r="J419" s="57"/>
      <c r="K419" s="48"/>
      <c r="L419" s="48"/>
      <c r="M419" s="48"/>
      <c r="N419" s="48"/>
      <c r="O419" s="48"/>
      <c r="P419" s="48"/>
      <c r="Q419" s="48"/>
    </row>
    <row r="420" spans="1:17" ht="18">
      <c r="A420" s="57"/>
      <c r="B420" s="57"/>
      <c r="C420" s="57"/>
      <c r="D420" s="57"/>
      <c r="E420" s="57"/>
      <c r="F420" s="57"/>
      <c r="G420" s="57"/>
      <c r="H420" s="57"/>
      <c r="I420" s="57"/>
      <c r="J420" s="57"/>
      <c r="K420" s="48"/>
      <c r="L420" s="48"/>
      <c r="M420" s="48"/>
      <c r="N420" s="48"/>
      <c r="O420" s="48"/>
      <c r="P420" s="48"/>
      <c r="Q420" s="48"/>
    </row>
    <row r="421" spans="1:17">
      <c r="C421" s="48"/>
      <c r="D421" s="48"/>
      <c r="E421" s="48"/>
      <c r="F421" s="48"/>
      <c r="G421" s="48"/>
      <c r="H421" s="48"/>
      <c r="I421" s="48"/>
      <c r="J421" s="48"/>
      <c r="K421" s="48"/>
      <c r="L421" s="48"/>
      <c r="M421" s="48"/>
      <c r="N421" s="48"/>
      <c r="O421" s="48"/>
      <c r="P421" s="48"/>
      <c r="Q421" s="48"/>
    </row>
    <row r="422" spans="1:17">
      <c r="C422" s="48"/>
      <c r="D422" s="48"/>
      <c r="E422" s="48"/>
      <c r="F422" s="48"/>
      <c r="G422" s="48"/>
      <c r="H422" s="48"/>
      <c r="I422" s="48"/>
      <c r="J422" s="48"/>
      <c r="K422" s="48"/>
      <c r="L422" s="48"/>
      <c r="M422" s="48"/>
      <c r="N422" s="48"/>
      <c r="O422" s="48"/>
      <c r="P422" s="48"/>
      <c r="Q422" s="48"/>
    </row>
    <row r="423" spans="1:17">
      <c r="C423" s="48"/>
      <c r="D423" s="48"/>
      <c r="E423" s="48"/>
      <c r="F423" s="48"/>
      <c r="G423" s="48"/>
      <c r="H423" s="48"/>
      <c r="I423" s="48"/>
      <c r="J423" s="48"/>
      <c r="K423" s="48"/>
      <c r="L423" s="48"/>
      <c r="M423" s="48"/>
      <c r="N423" s="48"/>
      <c r="O423" s="48"/>
      <c r="P423" s="48"/>
      <c r="Q423" s="48"/>
    </row>
    <row r="424" spans="1:17">
      <c r="C424" s="48"/>
      <c r="D424" s="48"/>
      <c r="E424" s="48"/>
      <c r="F424" s="48"/>
      <c r="G424" s="48"/>
      <c r="H424" s="48"/>
      <c r="I424" s="48"/>
      <c r="J424" s="48"/>
      <c r="K424" s="48"/>
      <c r="L424" s="48"/>
      <c r="M424" s="48"/>
      <c r="N424" s="48"/>
      <c r="O424" s="48"/>
      <c r="P424" s="48"/>
      <c r="Q424" s="48"/>
    </row>
    <row r="425" spans="1:17">
      <c r="C425" s="48"/>
      <c r="D425" s="48"/>
      <c r="E425" s="48"/>
      <c r="F425" s="48"/>
      <c r="G425" s="48"/>
      <c r="H425" s="48"/>
      <c r="I425" s="48"/>
      <c r="J425" s="48"/>
      <c r="K425" s="48"/>
      <c r="L425" s="48"/>
      <c r="M425" s="48"/>
      <c r="N425" s="48"/>
      <c r="O425" s="48"/>
      <c r="P425" s="48"/>
      <c r="Q425" s="48"/>
    </row>
    <row r="426" spans="1:17">
      <c r="C426" s="48"/>
      <c r="D426" s="48"/>
      <c r="E426" s="48"/>
      <c r="F426" s="48"/>
      <c r="G426" s="48"/>
      <c r="H426" s="48"/>
      <c r="I426" s="48"/>
      <c r="J426" s="48"/>
      <c r="K426" s="48"/>
      <c r="L426" s="48"/>
      <c r="M426" s="48"/>
      <c r="N426" s="48"/>
      <c r="O426" s="48"/>
      <c r="P426" s="48"/>
      <c r="Q426" s="48"/>
    </row>
    <row r="427" spans="1:17">
      <c r="C427" s="48"/>
      <c r="D427" s="48"/>
      <c r="E427" s="48"/>
      <c r="F427" s="48"/>
      <c r="G427" s="48"/>
      <c r="H427" s="48"/>
      <c r="I427" s="48"/>
      <c r="J427" s="48"/>
      <c r="K427" s="48"/>
      <c r="L427" s="48"/>
      <c r="M427" s="48"/>
      <c r="N427" s="48"/>
      <c r="O427" s="48"/>
      <c r="P427" s="48"/>
      <c r="Q427" s="48"/>
    </row>
    <row r="428" spans="1:17">
      <c r="C428" s="48"/>
      <c r="D428" s="48"/>
      <c r="E428" s="48"/>
      <c r="F428" s="48"/>
      <c r="G428" s="48"/>
      <c r="H428" s="48"/>
      <c r="I428" s="48"/>
      <c r="J428" s="48"/>
      <c r="K428" s="48"/>
      <c r="L428" s="48"/>
      <c r="M428" s="48"/>
      <c r="N428" s="48"/>
      <c r="O428" s="48"/>
      <c r="P428" s="48"/>
      <c r="Q428" s="48"/>
    </row>
    <row r="429" spans="1:17">
      <c r="C429" s="48"/>
      <c r="D429" s="48"/>
      <c r="E429" s="48"/>
      <c r="F429" s="48"/>
      <c r="G429" s="48"/>
      <c r="H429" s="48"/>
      <c r="I429" s="48"/>
      <c r="J429" s="48"/>
      <c r="K429" s="48"/>
      <c r="L429" s="48"/>
      <c r="M429" s="48"/>
      <c r="N429" s="48"/>
      <c r="O429" s="48"/>
      <c r="P429" s="48"/>
      <c r="Q429" s="48"/>
    </row>
    <row r="430" spans="1:17">
      <c r="C430" s="48"/>
      <c r="D430" s="48"/>
      <c r="E430" s="48"/>
      <c r="F430" s="48"/>
      <c r="G430" s="48"/>
      <c r="H430" s="48"/>
      <c r="I430" s="48"/>
      <c r="J430" s="48"/>
      <c r="K430" s="48"/>
      <c r="L430" s="48"/>
      <c r="M430" s="48"/>
      <c r="N430" s="48"/>
      <c r="O430" s="48"/>
      <c r="P430" s="48"/>
      <c r="Q430" s="48"/>
    </row>
    <row r="431" spans="1:17">
      <c r="C431" s="48"/>
      <c r="D431" s="48"/>
      <c r="E431" s="48"/>
      <c r="F431" s="48"/>
      <c r="G431" s="48"/>
      <c r="H431" s="48"/>
      <c r="I431" s="48"/>
      <c r="J431" s="48"/>
      <c r="K431" s="48"/>
      <c r="L431" s="48"/>
      <c r="M431" s="48"/>
      <c r="N431" s="48"/>
      <c r="O431" s="48"/>
      <c r="P431" s="48"/>
      <c r="Q431" s="48"/>
    </row>
    <row r="432" spans="1:17">
      <c r="C432" s="48"/>
      <c r="D432" s="48"/>
      <c r="E432" s="48"/>
      <c r="F432" s="48"/>
      <c r="G432" s="48"/>
      <c r="H432" s="48"/>
      <c r="I432" s="48"/>
      <c r="J432" s="48"/>
      <c r="K432" s="48"/>
      <c r="L432" s="48"/>
      <c r="M432" s="48"/>
      <c r="N432" s="48"/>
      <c r="O432" s="48"/>
      <c r="P432" s="48"/>
      <c r="Q432" s="48"/>
    </row>
    <row r="433" spans="3:17">
      <c r="C433" s="48"/>
      <c r="D433" s="48"/>
      <c r="E433" s="48"/>
      <c r="F433" s="48"/>
      <c r="G433" s="48"/>
      <c r="H433" s="48"/>
      <c r="I433" s="48"/>
      <c r="J433" s="48"/>
      <c r="K433" s="48"/>
      <c r="L433" s="48"/>
      <c r="M433" s="48"/>
      <c r="N433" s="48"/>
      <c r="O433" s="48"/>
      <c r="P433" s="48"/>
      <c r="Q433" s="48"/>
    </row>
    <row r="434" spans="3:17">
      <c r="C434" s="48"/>
      <c r="D434" s="48"/>
      <c r="E434" s="48"/>
      <c r="F434" s="48"/>
      <c r="G434" s="48"/>
      <c r="H434" s="48"/>
      <c r="I434" s="48"/>
      <c r="J434" s="48"/>
      <c r="K434" s="48"/>
      <c r="L434" s="48"/>
      <c r="M434" s="48"/>
      <c r="N434" s="48"/>
      <c r="O434" s="48"/>
      <c r="P434" s="48"/>
      <c r="Q434" s="48"/>
    </row>
    <row r="435" spans="3:17">
      <c r="C435" s="48"/>
      <c r="D435" s="48"/>
      <c r="E435" s="48"/>
      <c r="F435" s="48"/>
      <c r="G435" s="48"/>
      <c r="H435" s="48"/>
      <c r="I435" s="48"/>
      <c r="J435" s="48"/>
      <c r="K435" s="48"/>
      <c r="L435" s="48"/>
      <c r="M435" s="48"/>
      <c r="N435" s="48"/>
      <c r="O435" s="48"/>
      <c r="P435" s="48"/>
      <c r="Q435" s="48"/>
    </row>
    <row r="436" spans="3:17">
      <c r="C436" s="48"/>
      <c r="D436" s="48"/>
      <c r="E436" s="48"/>
      <c r="F436" s="48"/>
      <c r="G436" s="48"/>
      <c r="H436" s="48"/>
      <c r="I436" s="48"/>
      <c r="J436" s="48"/>
      <c r="K436" s="48"/>
      <c r="L436" s="48"/>
      <c r="M436" s="48"/>
      <c r="N436" s="48"/>
      <c r="O436" s="48"/>
      <c r="P436" s="48"/>
      <c r="Q436" s="48"/>
    </row>
    <row r="437" spans="3:17">
      <c r="C437" s="48"/>
      <c r="D437" s="48"/>
      <c r="E437" s="48"/>
      <c r="F437" s="48"/>
      <c r="G437" s="48"/>
      <c r="H437" s="48"/>
      <c r="I437" s="48"/>
      <c r="J437" s="48"/>
      <c r="K437" s="48"/>
      <c r="L437" s="48"/>
      <c r="M437" s="48"/>
      <c r="N437" s="48"/>
      <c r="O437" s="48"/>
      <c r="P437" s="48"/>
      <c r="Q437" s="48"/>
    </row>
    <row r="438" spans="3:17">
      <c r="C438" s="48"/>
      <c r="D438" s="48"/>
      <c r="E438" s="48"/>
      <c r="F438" s="48"/>
      <c r="G438" s="48"/>
      <c r="H438" s="48"/>
      <c r="I438" s="48"/>
      <c r="J438" s="48"/>
      <c r="K438" s="48"/>
      <c r="L438" s="48"/>
      <c r="M438" s="48"/>
      <c r="N438" s="48"/>
      <c r="O438" s="48"/>
      <c r="P438" s="48"/>
      <c r="Q438" s="48"/>
    </row>
    <row r="439" spans="3:17">
      <c r="C439" s="48"/>
      <c r="D439" s="48"/>
      <c r="E439" s="48"/>
      <c r="F439" s="48"/>
      <c r="G439" s="48"/>
      <c r="H439" s="48"/>
      <c r="I439" s="48"/>
      <c r="J439" s="48"/>
      <c r="K439" s="48"/>
      <c r="L439" s="48"/>
      <c r="M439" s="48"/>
      <c r="N439" s="48"/>
      <c r="O439" s="48"/>
      <c r="P439" s="48"/>
      <c r="Q439" s="48"/>
    </row>
    <row r="440" spans="3:17">
      <c r="C440" s="48"/>
      <c r="D440" s="48"/>
      <c r="E440" s="48"/>
      <c r="F440" s="48"/>
      <c r="G440" s="48"/>
      <c r="H440" s="48"/>
      <c r="I440" s="48"/>
      <c r="J440" s="48"/>
      <c r="K440" s="48"/>
      <c r="L440" s="48"/>
      <c r="M440" s="48"/>
      <c r="N440" s="48"/>
      <c r="O440" s="48"/>
      <c r="P440" s="48"/>
      <c r="Q440" s="48"/>
    </row>
    <row r="441" spans="3:17">
      <c r="C441" s="48"/>
      <c r="D441" s="48"/>
      <c r="E441" s="48"/>
      <c r="F441" s="48"/>
      <c r="G441" s="48"/>
      <c r="H441" s="48"/>
      <c r="I441" s="48"/>
      <c r="J441" s="48"/>
      <c r="K441" s="48"/>
      <c r="L441" s="48"/>
      <c r="M441" s="48"/>
      <c r="N441" s="48"/>
      <c r="O441" s="48"/>
      <c r="P441" s="48"/>
      <c r="Q441" s="48"/>
    </row>
    <row r="442" spans="3:17">
      <c r="C442" s="48"/>
      <c r="D442" s="48"/>
      <c r="E442" s="48"/>
      <c r="F442" s="48"/>
      <c r="G442" s="48"/>
      <c r="H442" s="48"/>
      <c r="I442" s="48"/>
      <c r="J442" s="48"/>
      <c r="K442" s="48"/>
      <c r="L442" s="48"/>
      <c r="M442" s="48"/>
      <c r="N442" s="48"/>
      <c r="O442" s="48"/>
      <c r="P442" s="48"/>
      <c r="Q442" s="48"/>
    </row>
    <row r="443" spans="3:17">
      <c r="C443" s="48"/>
      <c r="D443" s="48"/>
      <c r="E443" s="48"/>
      <c r="F443" s="48"/>
      <c r="G443" s="48"/>
      <c r="H443" s="48"/>
      <c r="I443" s="48"/>
      <c r="J443" s="48"/>
      <c r="K443" s="48"/>
      <c r="L443" s="48"/>
      <c r="M443" s="48"/>
      <c r="N443" s="48"/>
      <c r="O443" s="48"/>
      <c r="P443" s="48"/>
      <c r="Q443" s="48"/>
    </row>
    <row r="444" spans="3:17">
      <c r="C444" s="48"/>
      <c r="D444" s="48"/>
      <c r="E444" s="48"/>
      <c r="F444" s="48"/>
      <c r="G444" s="48"/>
      <c r="H444" s="48"/>
      <c r="I444" s="48"/>
      <c r="J444" s="48"/>
      <c r="K444" s="48"/>
      <c r="L444" s="48"/>
      <c r="M444" s="48"/>
      <c r="N444" s="48"/>
      <c r="O444" s="48"/>
      <c r="P444" s="48"/>
      <c r="Q444" s="48"/>
    </row>
    <row r="445" spans="3:17">
      <c r="C445" s="48"/>
      <c r="D445" s="48"/>
      <c r="E445" s="48"/>
      <c r="F445" s="48"/>
      <c r="G445" s="48"/>
      <c r="H445" s="48"/>
      <c r="I445" s="48"/>
      <c r="J445" s="48"/>
      <c r="K445" s="48"/>
      <c r="L445" s="48"/>
      <c r="M445" s="48"/>
      <c r="N445" s="48"/>
      <c r="O445" s="48"/>
      <c r="P445" s="48"/>
      <c r="Q445" s="48"/>
    </row>
    <row r="446" spans="3:17">
      <c r="C446" s="48"/>
      <c r="D446" s="48"/>
      <c r="E446" s="48"/>
      <c r="F446" s="48"/>
      <c r="G446" s="48"/>
      <c r="H446" s="48"/>
      <c r="I446" s="48"/>
      <c r="J446" s="48"/>
      <c r="K446" s="48"/>
      <c r="L446" s="48"/>
      <c r="M446" s="48"/>
      <c r="N446" s="48"/>
      <c r="O446" s="48"/>
      <c r="P446" s="48"/>
      <c r="Q446" s="48"/>
    </row>
    <row r="447" spans="3:17">
      <c r="C447" s="48"/>
      <c r="D447" s="48"/>
      <c r="E447" s="48"/>
      <c r="F447" s="48"/>
      <c r="G447" s="48"/>
      <c r="H447" s="48"/>
      <c r="I447" s="48"/>
      <c r="J447" s="48"/>
      <c r="K447" s="48"/>
      <c r="L447" s="48"/>
      <c r="M447" s="48"/>
      <c r="N447" s="48"/>
      <c r="O447" s="48"/>
      <c r="P447" s="48"/>
      <c r="Q447" s="48"/>
    </row>
    <row r="448" spans="3:17">
      <c r="C448" s="48"/>
      <c r="D448" s="48"/>
      <c r="E448" s="48"/>
      <c r="F448" s="48"/>
      <c r="G448" s="48"/>
      <c r="H448" s="48"/>
      <c r="I448" s="48"/>
      <c r="J448" s="48"/>
      <c r="K448" s="48"/>
      <c r="L448" s="48"/>
      <c r="M448" s="48"/>
      <c r="N448" s="48"/>
      <c r="O448" s="48"/>
      <c r="P448" s="48"/>
      <c r="Q448" s="48"/>
    </row>
    <row r="449" spans="3:17">
      <c r="C449" s="48"/>
      <c r="D449" s="48"/>
      <c r="E449" s="48"/>
      <c r="F449" s="48"/>
      <c r="G449" s="48"/>
      <c r="H449" s="48"/>
      <c r="I449" s="48"/>
      <c r="J449" s="48"/>
      <c r="K449" s="48"/>
      <c r="L449" s="48"/>
      <c r="M449" s="48"/>
      <c r="N449" s="48"/>
      <c r="O449" s="48"/>
      <c r="P449" s="48"/>
      <c r="Q449" s="48"/>
    </row>
    <row r="450" spans="3:17">
      <c r="C450" s="48"/>
      <c r="D450" s="48"/>
      <c r="E450" s="48"/>
      <c r="F450" s="48"/>
      <c r="G450" s="48"/>
      <c r="H450" s="48"/>
      <c r="I450" s="48"/>
      <c r="J450" s="48"/>
      <c r="K450" s="48"/>
      <c r="L450" s="48"/>
      <c r="M450" s="48"/>
      <c r="N450" s="48"/>
      <c r="O450" s="48"/>
      <c r="P450" s="48"/>
      <c r="Q450" s="48"/>
    </row>
    <row r="451" spans="3:17">
      <c r="C451" s="48"/>
      <c r="D451" s="48"/>
      <c r="E451" s="48"/>
      <c r="F451" s="48"/>
      <c r="G451" s="48"/>
      <c r="H451" s="48"/>
      <c r="I451" s="48"/>
      <c r="J451" s="48"/>
      <c r="K451" s="48"/>
      <c r="L451" s="48"/>
      <c r="M451" s="48"/>
      <c r="N451" s="48"/>
      <c r="O451" s="48"/>
      <c r="P451" s="48"/>
      <c r="Q451" s="48"/>
    </row>
    <row r="452" spans="3:17">
      <c r="C452" s="48"/>
      <c r="D452" s="48"/>
      <c r="E452" s="48"/>
      <c r="F452" s="48"/>
      <c r="G452" s="48"/>
      <c r="H452" s="48"/>
      <c r="I452" s="48"/>
      <c r="J452" s="48"/>
      <c r="K452" s="48"/>
      <c r="L452" s="48"/>
      <c r="M452" s="48"/>
      <c r="N452" s="48"/>
      <c r="O452" s="48"/>
      <c r="P452" s="48"/>
      <c r="Q452" s="48"/>
    </row>
    <row r="453" spans="3:17">
      <c r="C453" s="48"/>
      <c r="D453" s="48"/>
      <c r="E453" s="48"/>
      <c r="F453" s="48"/>
      <c r="G453" s="48"/>
      <c r="H453" s="48"/>
      <c r="I453" s="48"/>
      <c r="J453" s="48"/>
      <c r="K453" s="48"/>
      <c r="L453" s="48"/>
      <c r="M453" s="48"/>
      <c r="N453" s="48"/>
      <c r="O453" s="48"/>
      <c r="P453" s="48"/>
      <c r="Q453" s="48"/>
    </row>
    <row r="454" spans="3:17">
      <c r="C454" s="48"/>
      <c r="D454" s="48"/>
      <c r="E454" s="48"/>
      <c r="F454" s="48"/>
      <c r="G454" s="48"/>
      <c r="H454" s="48"/>
      <c r="I454" s="48"/>
      <c r="J454" s="48"/>
      <c r="K454" s="48"/>
      <c r="L454" s="48"/>
      <c r="M454" s="48"/>
      <c r="N454" s="48"/>
      <c r="O454" s="48"/>
      <c r="P454" s="48"/>
      <c r="Q454" s="48"/>
    </row>
    <row r="455" spans="3:17">
      <c r="C455" s="48"/>
      <c r="D455" s="48"/>
      <c r="E455" s="48"/>
      <c r="F455" s="48"/>
      <c r="G455" s="48"/>
      <c r="H455" s="48"/>
      <c r="I455" s="48"/>
      <c r="J455" s="48"/>
      <c r="K455" s="48"/>
      <c r="L455" s="48"/>
      <c r="M455" s="48"/>
      <c r="N455" s="48"/>
      <c r="O455" s="48"/>
      <c r="P455" s="48"/>
      <c r="Q455" s="48"/>
    </row>
    <row r="456" spans="3:17">
      <c r="C456" s="48"/>
      <c r="D456" s="48"/>
      <c r="E456" s="48"/>
      <c r="F456" s="48"/>
      <c r="G456" s="48"/>
      <c r="H456" s="48"/>
      <c r="I456" s="48"/>
      <c r="J456" s="48"/>
      <c r="K456" s="48"/>
      <c r="L456" s="48"/>
      <c r="M456" s="48"/>
      <c r="N456" s="48"/>
      <c r="O456" s="48"/>
      <c r="P456" s="48"/>
      <c r="Q456" s="48"/>
    </row>
    <row r="457" spans="3:17">
      <c r="C457" s="48"/>
      <c r="D457" s="48"/>
      <c r="E457" s="48"/>
      <c r="F457" s="48"/>
      <c r="G457" s="48"/>
      <c r="H457" s="48"/>
      <c r="I457" s="48"/>
      <c r="J457" s="48"/>
      <c r="K457" s="48"/>
      <c r="L457" s="48"/>
      <c r="M457" s="48"/>
      <c r="N457" s="48"/>
      <c r="O457" s="48"/>
      <c r="P457" s="48"/>
      <c r="Q457" s="48"/>
    </row>
    <row r="458" spans="3:17">
      <c r="C458" s="48"/>
      <c r="D458" s="48"/>
      <c r="E458" s="48"/>
      <c r="F458" s="48"/>
      <c r="G458" s="48"/>
      <c r="H458" s="48"/>
      <c r="I458" s="48"/>
      <c r="J458" s="48"/>
      <c r="K458" s="48"/>
      <c r="L458" s="48"/>
      <c r="M458" s="48"/>
      <c r="N458" s="48"/>
      <c r="O458" s="48"/>
      <c r="P458" s="48"/>
      <c r="Q458" s="48"/>
    </row>
    <row r="459" spans="3:17">
      <c r="C459" s="48"/>
      <c r="D459" s="48"/>
      <c r="E459" s="48"/>
      <c r="F459" s="48"/>
      <c r="G459" s="48"/>
      <c r="H459" s="48"/>
      <c r="I459" s="48"/>
      <c r="J459" s="48"/>
      <c r="K459" s="48"/>
      <c r="L459" s="48"/>
      <c r="M459" s="48"/>
      <c r="N459" s="48"/>
      <c r="O459" s="48"/>
      <c r="P459" s="48"/>
      <c r="Q459" s="48"/>
    </row>
    <row r="460" spans="3:17">
      <c r="C460" s="48"/>
      <c r="D460" s="48"/>
      <c r="E460" s="48"/>
      <c r="F460" s="48"/>
      <c r="G460" s="48"/>
      <c r="H460" s="48"/>
      <c r="I460" s="48"/>
      <c r="J460" s="48"/>
      <c r="K460" s="48"/>
      <c r="L460" s="48"/>
      <c r="M460" s="48"/>
      <c r="N460" s="48"/>
      <c r="O460" s="48"/>
      <c r="P460" s="48"/>
      <c r="Q460" s="48"/>
    </row>
    <row r="461" spans="3:17">
      <c r="C461" s="48"/>
      <c r="D461" s="48"/>
      <c r="E461" s="48"/>
      <c r="F461" s="48"/>
      <c r="G461" s="48"/>
      <c r="H461" s="48"/>
      <c r="I461" s="48"/>
      <c r="J461" s="48"/>
      <c r="K461" s="48"/>
      <c r="L461" s="48"/>
      <c r="M461" s="48"/>
      <c r="N461" s="48"/>
      <c r="O461" s="48"/>
      <c r="P461" s="48"/>
      <c r="Q461" s="48"/>
    </row>
    <row r="462" spans="3:17">
      <c r="C462" s="48"/>
      <c r="D462" s="48"/>
      <c r="E462" s="48"/>
      <c r="F462" s="48"/>
      <c r="G462" s="48"/>
      <c r="H462" s="48"/>
      <c r="I462" s="48"/>
      <c r="J462" s="48"/>
      <c r="K462" s="48"/>
      <c r="L462" s="48"/>
      <c r="M462" s="48"/>
      <c r="N462" s="48"/>
      <c r="O462" s="48"/>
      <c r="P462" s="48"/>
      <c r="Q462" s="48"/>
    </row>
    <row r="463" spans="3:17">
      <c r="C463" s="48"/>
      <c r="D463" s="48"/>
      <c r="E463" s="48"/>
      <c r="F463" s="48"/>
      <c r="G463" s="48"/>
      <c r="H463" s="48"/>
      <c r="I463" s="48"/>
      <c r="J463" s="48"/>
      <c r="K463" s="48"/>
      <c r="L463" s="48"/>
      <c r="M463" s="48"/>
      <c r="N463" s="48"/>
      <c r="O463" s="48"/>
      <c r="P463" s="48"/>
      <c r="Q463" s="48"/>
    </row>
    <row r="464" spans="3:17">
      <c r="C464" s="48"/>
      <c r="D464" s="48"/>
      <c r="E464" s="48"/>
      <c r="F464" s="48"/>
      <c r="G464" s="48"/>
      <c r="H464" s="48"/>
      <c r="I464" s="48"/>
      <c r="J464" s="48"/>
      <c r="K464" s="48"/>
      <c r="L464" s="48"/>
      <c r="M464" s="48"/>
      <c r="N464" s="48"/>
      <c r="O464" s="48"/>
      <c r="P464" s="48"/>
      <c r="Q464" s="48"/>
    </row>
    <row r="465" spans="3:17">
      <c r="C465" s="48"/>
      <c r="D465" s="48"/>
      <c r="E465" s="48"/>
      <c r="F465" s="48"/>
      <c r="G465" s="48"/>
      <c r="H465" s="48"/>
      <c r="I465" s="48"/>
      <c r="J465" s="48"/>
      <c r="K465" s="48"/>
      <c r="L465" s="48"/>
      <c r="M465" s="48"/>
      <c r="N465" s="48"/>
      <c r="O465" s="48"/>
      <c r="P465" s="48"/>
      <c r="Q465" s="48"/>
    </row>
    <row r="466" spans="3:17">
      <c r="C466" s="48"/>
      <c r="D466" s="48"/>
      <c r="E466" s="48"/>
      <c r="F466" s="48"/>
      <c r="G466" s="48"/>
      <c r="H466" s="48"/>
      <c r="I466" s="48"/>
      <c r="J466" s="48"/>
      <c r="K466" s="48"/>
      <c r="L466" s="48"/>
      <c r="M466" s="48"/>
      <c r="N466" s="48"/>
      <c r="O466" s="48"/>
      <c r="P466" s="48"/>
      <c r="Q466" s="48"/>
    </row>
    <row r="467" spans="3:17">
      <c r="C467" s="48"/>
      <c r="D467" s="48"/>
      <c r="E467" s="48"/>
      <c r="F467" s="48"/>
      <c r="G467" s="48"/>
      <c r="H467" s="48"/>
      <c r="I467" s="48"/>
      <c r="J467" s="48"/>
      <c r="K467" s="48"/>
      <c r="L467" s="48"/>
      <c r="M467" s="48"/>
      <c r="N467" s="48"/>
      <c r="O467" s="48"/>
      <c r="P467" s="48"/>
      <c r="Q467" s="48"/>
    </row>
    <row r="468" spans="3:17">
      <c r="C468" s="48"/>
      <c r="D468" s="48"/>
      <c r="E468" s="48"/>
      <c r="F468" s="48"/>
      <c r="G468" s="48"/>
      <c r="H468" s="48"/>
      <c r="I468" s="48"/>
      <c r="J468" s="48"/>
      <c r="K468" s="48"/>
      <c r="L468" s="48"/>
      <c r="M468" s="48"/>
      <c r="N468" s="48"/>
      <c r="O468" s="48"/>
      <c r="P468" s="48"/>
      <c r="Q468" s="48"/>
    </row>
    <row r="469" spans="3:17">
      <c r="C469" s="48"/>
      <c r="D469" s="48"/>
      <c r="E469" s="48"/>
      <c r="F469" s="48"/>
      <c r="G469" s="48"/>
      <c r="H469" s="48"/>
      <c r="I469" s="48"/>
      <c r="J469" s="48"/>
      <c r="K469" s="48"/>
      <c r="L469" s="48"/>
      <c r="M469" s="48"/>
      <c r="N469" s="48"/>
      <c r="O469" s="48"/>
      <c r="P469" s="48"/>
      <c r="Q469" s="48"/>
    </row>
    <row r="470" spans="3:17">
      <c r="C470" s="48"/>
      <c r="D470" s="48"/>
      <c r="E470" s="48"/>
      <c r="F470" s="48"/>
      <c r="G470" s="48"/>
      <c r="H470" s="48"/>
      <c r="I470" s="48"/>
      <c r="J470" s="48"/>
      <c r="K470" s="48"/>
      <c r="L470" s="48"/>
      <c r="M470" s="48"/>
      <c r="N470" s="48"/>
      <c r="O470" s="48"/>
      <c r="P470" s="48"/>
      <c r="Q470" s="48"/>
    </row>
    <row r="471" spans="3:17">
      <c r="C471" s="48"/>
      <c r="D471" s="48"/>
      <c r="E471" s="48"/>
      <c r="F471" s="48"/>
      <c r="G471" s="48"/>
      <c r="H471" s="48"/>
      <c r="I471" s="48"/>
      <c r="J471" s="48"/>
      <c r="K471" s="48"/>
      <c r="L471" s="48"/>
      <c r="M471" s="48"/>
      <c r="N471" s="48"/>
      <c r="O471" s="48"/>
      <c r="P471" s="48"/>
      <c r="Q471" s="48"/>
    </row>
    <row r="472" spans="3:17">
      <c r="C472" s="48"/>
      <c r="D472" s="48"/>
      <c r="E472" s="48"/>
      <c r="F472" s="48"/>
      <c r="G472" s="48"/>
      <c r="H472" s="48"/>
      <c r="I472" s="48"/>
      <c r="J472" s="48"/>
      <c r="K472" s="48"/>
      <c r="L472" s="48"/>
      <c r="M472" s="48"/>
      <c r="N472" s="48"/>
      <c r="O472" s="48"/>
      <c r="P472" s="48"/>
      <c r="Q472" s="48"/>
    </row>
    <row r="473" spans="3:17">
      <c r="C473" s="48"/>
      <c r="D473" s="48"/>
      <c r="E473" s="48"/>
      <c r="F473" s="48"/>
      <c r="G473" s="48"/>
      <c r="H473" s="48"/>
      <c r="I473" s="48"/>
      <c r="J473" s="48"/>
      <c r="K473" s="48"/>
      <c r="L473" s="48"/>
      <c r="M473" s="48"/>
      <c r="N473" s="48"/>
      <c r="O473" s="48"/>
      <c r="P473" s="48"/>
      <c r="Q473" s="48"/>
    </row>
    <row r="474" spans="3:17">
      <c r="C474" s="48"/>
      <c r="D474" s="48"/>
      <c r="E474" s="48"/>
      <c r="F474" s="48"/>
      <c r="G474" s="48"/>
      <c r="H474" s="48"/>
      <c r="I474" s="48"/>
      <c r="J474" s="48"/>
      <c r="K474" s="48"/>
      <c r="L474" s="48"/>
      <c r="M474" s="48"/>
      <c r="N474" s="48"/>
      <c r="O474" s="48"/>
      <c r="P474" s="48"/>
      <c r="Q474" s="48"/>
    </row>
    <row r="475" spans="3:17">
      <c r="C475" s="48"/>
      <c r="D475" s="48"/>
      <c r="E475" s="48"/>
      <c r="F475" s="48"/>
      <c r="G475" s="48"/>
      <c r="H475" s="48"/>
      <c r="I475" s="48"/>
      <c r="J475" s="48"/>
      <c r="K475" s="48"/>
      <c r="L475" s="48"/>
      <c r="M475" s="48"/>
      <c r="N475" s="48"/>
      <c r="O475" s="48"/>
      <c r="P475" s="48"/>
      <c r="Q475" s="48"/>
    </row>
    <row r="476" spans="3:17">
      <c r="C476" s="48"/>
      <c r="D476" s="48"/>
      <c r="E476" s="48"/>
      <c r="F476" s="48"/>
      <c r="G476" s="48"/>
      <c r="H476" s="48"/>
      <c r="I476" s="48"/>
      <c r="J476" s="48"/>
      <c r="K476" s="48"/>
      <c r="L476" s="48"/>
      <c r="M476" s="48"/>
      <c r="N476" s="48"/>
      <c r="O476" s="48"/>
      <c r="P476" s="48"/>
      <c r="Q476" s="48"/>
    </row>
    <row r="477" spans="3:17">
      <c r="C477" s="48"/>
      <c r="D477" s="48"/>
      <c r="E477" s="48"/>
      <c r="F477" s="48"/>
      <c r="G477" s="48"/>
      <c r="H477" s="48"/>
      <c r="I477" s="48"/>
      <c r="J477" s="48"/>
      <c r="K477" s="48"/>
      <c r="L477" s="48"/>
      <c r="M477" s="48"/>
      <c r="N477" s="48"/>
      <c r="O477" s="48"/>
      <c r="P477" s="48"/>
      <c r="Q477" s="48"/>
    </row>
    <row r="478" spans="3:17">
      <c r="C478" s="48"/>
      <c r="D478" s="48"/>
      <c r="E478" s="48"/>
      <c r="F478" s="48"/>
      <c r="G478" s="48"/>
      <c r="H478" s="48"/>
      <c r="I478" s="48"/>
      <c r="J478" s="48"/>
      <c r="K478" s="48"/>
      <c r="L478" s="48"/>
      <c r="M478" s="48"/>
      <c r="N478" s="48"/>
      <c r="O478" s="48"/>
      <c r="P478" s="48"/>
      <c r="Q478" s="48"/>
    </row>
    <row r="479" spans="3:17">
      <c r="C479" s="48"/>
      <c r="D479" s="48"/>
      <c r="E479" s="48"/>
      <c r="F479" s="48"/>
      <c r="G479" s="48"/>
      <c r="H479" s="48"/>
      <c r="I479" s="48"/>
      <c r="J479" s="48"/>
      <c r="K479" s="48"/>
      <c r="L479" s="48"/>
      <c r="M479" s="48"/>
      <c r="N479" s="48"/>
      <c r="O479" s="48"/>
      <c r="P479" s="48"/>
      <c r="Q479" s="48"/>
    </row>
    <row r="480" spans="3:17">
      <c r="C480" s="48"/>
      <c r="D480" s="48"/>
      <c r="E480" s="48"/>
      <c r="F480" s="48"/>
      <c r="G480" s="48"/>
      <c r="H480" s="48"/>
      <c r="I480" s="48"/>
      <c r="J480" s="48"/>
      <c r="K480" s="48"/>
      <c r="L480" s="48"/>
      <c r="M480" s="48"/>
      <c r="N480" s="48"/>
      <c r="O480" s="48"/>
      <c r="P480" s="48"/>
      <c r="Q480" s="48"/>
    </row>
    <row r="481" spans="3:17">
      <c r="C481" s="48"/>
      <c r="D481" s="48"/>
      <c r="E481" s="48"/>
      <c r="F481" s="48"/>
      <c r="G481" s="48"/>
      <c r="H481" s="48"/>
      <c r="I481" s="48"/>
      <c r="J481" s="48"/>
      <c r="K481" s="48"/>
      <c r="L481" s="48"/>
      <c r="M481" s="48"/>
      <c r="N481" s="48"/>
      <c r="O481" s="48"/>
      <c r="P481" s="48"/>
      <c r="Q481" s="48"/>
    </row>
    <row r="482" spans="3:17">
      <c r="C482" s="48"/>
      <c r="D482" s="48"/>
      <c r="E482" s="48"/>
      <c r="F482" s="48"/>
      <c r="G482" s="48"/>
      <c r="H482" s="48"/>
      <c r="I482" s="48"/>
      <c r="J482" s="48"/>
      <c r="K482" s="48"/>
      <c r="L482" s="48"/>
      <c r="M482" s="48"/>
      <c r="N482" s="48"/>
      <c r="O482" s="48"/>
      <c r="P482" s="48"/>
      <c r="Q482" s="48"/>
    </row>
    <row r="483" spans="3:17">
      <c r="C483" s="48"/>
      <c r="D483" s="48"/>
      <c r="E483" s="48"/>
      <c r="F483" s="48"/>
      <c r="G483" s="48"/>
      <c r="H483" s="48"/>
      <c r="I483" s="48"/>
      <c r="J483" s="48"/>
      <c r="K483" s="48"/>
      <c r="L483" s="48"/>
      <c r="M483" s="48"/>
      <c r="N483" s="48"/>
      <c r="O483" s="48"/>
      <c r="P483" s="48"/>
      <c r="Q483" s="48"/>
    </row>
    <row r="484" spans="3:17">
      <c r="C484" s="48"/>
      <c r="D484" s="48"/>
      <c r="E484" s="48"/>
      <c r="F484" s="48"/>
      <c r="G484" s="48"/>
      <c r="H484" s="48"/>
      <c r="I484" s="48"/>
      <c r="J484" s="48"/>
      <c r="K484" s="48"/>
      <c r="L484" s="48"/>
      <c r="M484" s="48"/>
      <c r="N484" s="48"/>
      <c r="O484" s="48"/>
      <c r="P484" s="48"/>
      <c r="Q484" s="48"/>
    </row>
    <row r="485" spans="3:17">
      <c r="C485" s="48"/>
      <c r="D485" s="48"/>
      <c r="E485" s="48"/>
      <c r="F485" s="48"/>
      <c r="G485" s="48"/>
      <c r="H485" s="48"/>
      <c r="I485" s="48"/>
      <c r="J485" s="48"/>
      <c r="K485" s="48"/>
      <c r="L485" s="48"/>
      <c r="M485" s="48"/>
      <c r="N485" s="48"/>
      <c r="O485" s="48"/>
      <c r="P485" s="48"/>
      <c r="Q485" s="48"/>
    </row>
    <row r="486" spans="3:17">
      <c r="C486" s="48"/>
      <c r="D486" s="48"/>
      <c r="E486" s="48"/>
      <c r="F486" s="48"/>
      <c r="G486" s="48"/>
      <c r="H486" s="48"/>
      <c r="I486" s="48"/>
      <c r="J486" s="48"/>
      <c r="K486" s="48"/>
      <c r="L486" s="48"/>
      <c r="M486" s="48"/>
      <c r="N486" s="48"/>
      <c r="O486" s="48"/>
      <c r="P486" s="48"/>
      <c r="Q486" s="48"/>
    </row>
    <row r="487" spans="3:17">
      <c r="C487" s="48"/>
      <c r="D487" s="48"/>
      <c r="E487" s="48"/>
      <c r="F487" s="48"/>
      <c r="G487" s="48"/>
      <c r="H487" s="48"/>
      <c r="I487" s="48"/>
      <c r="J487" s="48"/>
      <c r="K487" s="48"/>
      <c r="L487" s="48"/>
      <c r="M487" s="48"/>
      <c r="N487" s="48"/>
      <c r="O487" s="48"/>
      <c r="P487" s="48"/>
      <c r="Q487" s="48"/>
    </row>
    <row r="488" spans="3:17">
      <c r="C488" s="48"/>
      <c r="D488" s="48"/>
      <c r="E488" s="48"/>
      <c r="F488" s="48"/>
      <c r="G488" s="48"/>
      <c r="H488" s="48"/>
      <c r="I488" s="48"/>
      <c r="J488" s="48"/>
      <c r="K488" s="48"/>
      <c r="L488" s="48"/>
      <c r="M488" s="48"/>
      <c r="N488" s="48"/>
      <c r="O488" s="48"/>
      <c r="P488" s="48"/>
      <c r="Q488" s="48"/>
    </row>
    <row r="489" spans="3:17">
      <c r="C489" s="48"/>
      <c r="D489" s="48"/>
      <c r="E489" s="48"/>
      <c r="F489" s="48"/>
      <c r="G489" s="48"/>
      <c r="H489" s="48"/>
      <c r="I489" s="48"/>
      <c r="J489" s="48"/>
      <c r="K489" s="48"/>
      <c r="L489" s="48"/>
      <c r="M489" s="48"/>
      <c r="N489" s="48"/>
      <c r="O489" s="48"/>
      <c r="P489" s="48"/>
      <c r="Q489" s="48"/>
    </row>
    <row r="490" spans="3:17">
      <c r="C490" s="48"/>
      <c r="D490" s="48"/>
      <c r="E490" s="48"/>
      <c r="F490" s="48"/>
      <c r="G490" s="48"/>
      <c r="H490" s="48"/>
      <c r="I490" s="48"/>
      <c r="J490" s="48"/>
      <c r="K490" s="48"/>
      <c r="L490" s="48"/>
      <c r="M490" s="48"/>
      <c r="N490" s="48"/>
      <c r="O490" s="48"/>
      <c r="P490" s="48"/>
      <c r="Q490" s="48"/>
    </row>
    <row r="491" spans="3:17">
      <c r="C491" s="48"/>
      <c r="D491" s="48"/>
      <c r="E491" s="48"/>
      <c r="F491" s="48"/>
      <c r="G491" s="48"/>
      <c r="H491" s="48"/>
      <c r="I491" s="48"/>
      <c r="J491" s="48"/>
      <c r="K491" s="48"/>
      <c r="L491" s="48"/>
      <c r="M491" s="48"/>
      <c r="N491" s="48"/>
      <c r="O491" s="48"/>
      <c r="P491" s="48"/>
      <c r="Q491" s="48"/>
    </row>
    <row r="492" spans="3:17">
      <c r="C492" s="48"/>
      <c r="D492" s="48"/>
      <c r="E492" s="48"/>
      <c r="F492" s="48"/>
      <c r="G492" s="48"/>
      <c r="H492" s="48"/>
      <c r="I492" s="48"/>
      <c r="J492" s="48"/>
      <c r="K492" s="48"/>
      <c r="L492" s="48"/>
      <c r="M492" s="48"/>
      <c r="N492" s="48"/>
      <c r="O492" s="48"/>
      <c r="P492" s="48"/>
      <c r="Q492" s="48"/>
    </row>
    <row r="493" spans="3:17">
      <c r="C493" s="48"/>
      <c r="D493" s="48"/>
      <c r="E493" s="48"/>
      <c r="F493" s="48"/>
      <c r="G493" s="48"/>
      <c r="H493" s="48"/>
      <c r="I493" s="48"/>
      <c r="J493" s="48"/>
      <c r="K493" s="48"/>
      <c r="L493" s="48"/>
      <c r="M493" s="48"/>
      <c r="N493" s="48"/>
      <c r="O493" s="48"/>
      <c r="P493" s="48"/>
      <c r="Q493" s="48"/>
    </row>
    <row r="494" spans="3:17">
      <c r="C494" s="48"/>
      <c r="D494" s="48"/>
      <c r="E494" s="48"/>
      <c r="F494" s="48"/>
      <c r="G494" s="48"/>
      <c r="H494" s="48"/>
      <c r="I494" s="48"/>
      <c r="J494" s="48"/>
      <c r="K494" s="48"/>
      <c r="L494" s="48"/>
      <c r="M494" s="48"/>
      <c r="N494" s="48"/>
      <c r="O494" s="48"/>
      <c r="P494" s="48"/>
      <c r="Q494" s="48"/>
    </row>
    <row r="495" spans="3:17">
      <c r="C495" s="48"/>
      <c r="D495" s="48"/>
      <c r="E495" s="48"/>
      <c r="F495" s="48"/>
      <c r="G495" s="48"/>
      <c r="H495" s="48"/>
      <c r="I495" s="48"/>
      <c r="J495" s="48"/>
      <c r="K495" s="48"/>
      <c r="L495" s="48"/>
      <c r="M495" s="48"/>
      <c r="N495" s="48"/>
      <c r="O495" s="48"/>
      <c r="P495" s="48"/>
      <c r="Q495" s="48"/>
    </row>
    <row r="496" spans="3:17">
      <c r="C496" s="48"/>
      <c r="D496" s="48"/>
      <c r="E496" s="48"/>
      <c r="F496" s="48"/>
      <c r="G496" s="48"/>
      <c r="H496" s="48"/>
      <c r="I496" s="48"/>
      <c r="J496" s="48"/>
      <c r="K496" s="48"/>
      <c r="L496" s="48"/>
      <c r="M496" s="48"/>
      <c r="N496" s="48"/>
      <c r="O496" s="48"/>
      <c r="P496" s="48"/>
      <c r="Q496" s="48"/>
    </row>
    <row r="497" spans="3:17">
      <c r="C497" s="48"/>
      <c r="D497" s="48"/>
      <c r="E497" s="48"/>
      <c r="F497" s="48"/>
      <c r="G497" s="48"/>
      <c r="H497" s="48"/>
      <c r="I497" s="48"/>
      <c r="J497" s="48"/>
      <c r="K497" s="48"/>
      <c r="L497" s="48"/>
      <c r="M497" s="48"/>
      <c r="N497" s="48"/>
      <c r="O497" s="48"/>
      <c r="P497" s="48"/>
      <c r="Q497" s="48"/>
    </row>
    <row r="498" spans="3:17">
      <c r="C498" s="48"/>
      <c r="D498" s="48"/>
      <c r="E498" s="48"/>
      <c r="F498" s="48"/>
      <c r="G498" s="48"/>
      <c r="H498" s="48"/>
      <c r="I498" s="48"/>
      <c r="J498" s="48"/>
      <c r="K498" s="48"/>
      <c r="L498" s="48"/>
      <c r="M498" s="48"/>
      <c r="N498" s="48"/>
      <c r="O498" s="48"/>
      <c r="P498" s="48"/>
      <c r="Q498" s="48"/>
    </row>
    <row r="499" spans="3:17">
      <c r="C499" s="48"/>
      <c r="D499" s="48"/>
      <c r="E499" s="48"/>
      <c r="F499" s="48"/>
      <c r="G499" s="48"/>
      <c r="H499" s="48"/>
      <c r="I499" s="48"/>
      <c r="J499" s="48"/>
      <c r="K499" s="48"/>
      <c r="L499" s="48"/>
      <c r="M499" s="48"/>
      <c r="N499" s="48"/>
      <c r="O499" s="48"/>
      <c r="P499" s="48"/>
      <c r="Q499" s="48"/>
    </row>
    <row r="500" spans="3:17">
      <c r="C500" s="48"/>
      <c r="D500" s="48"/>
      <c r="E500" s="48"/>
      <c r="F500" s="48"/>
      <c r="G500" s="48"/>
      <c r="H500" s="48"/>
      <c r="I500" s="48"/>
      <c r="J500" s="48"/>
      <c r="K500" s="48"/>
      <c r="L500" s="48"/>
      <c r="M500" s="48"/>
      <c r="N500" s="48"/>
      <c r="O500" s="48"/>
      <c r="P500" s="48"/>
      <c r="Q500" s="48"/>
    </row>
    <row r="501" spans="3:17">
      <c r="C501" s="48"/>
      <c r="D501" s="48"/>
      <c r="E501" s="48"/>
      <c r="F501" s="48"/>
      <c r="G501" s="48"/>
      <c r="H501" s="48"/>
      <c r="I501" s="48"/>
      <c r="J501" s="48"/>
      <c r="K501" s="48"/>
      <c r="L501" s="48"/>
      <c r="M501" s="48"/>
      <c r="N501" s="48"/>
      <c r="O501" s="48"/>
      <c r="P501" s="48"/>
      <c r="Q501" s="48"/>
    </row>
    <row r="502" spans="3:17">
      <c r="C502" s="48"/>
      <c r="D502" s="48"/>
      <c r="E502" s="48"/>
      <c r="F502" s="48"/>
      <c r="G502" s="48"/>
      <c r="H502" s="48"/>
      <c r="I502" s="48"/>
      <c r="J502" s="48"/>
      <c r="K502" s="48"/>
      <c r="L502" s="48"/>
      <c r="M502" s="48"/>
      <c r="N502" s="48"/>
      <c r="O502" s="48"/>
      <c r="P502" s="48"/>
      <c r="Q502" s="48"/>
    </row>
    <row r="503" spans="3:17">
      <c r="C503" s="48"/>
      <c r="D503" s="48"/>
      <c r="E503" s="48"/>
      <c r="F503" s="48"/>
      <c r="G503" s="48"/>
      <c r="H503" s="48"/>
      <c r="I503" s="48"/>
      <c r="J503" s="48"/>
      <c r="K503" s="48"/>
      <c r="L503" s="48"/>
      <c r="M503" s="48"/>
      <c r="N503" s="48"/>
      <c r="O503" s="48"/>
      <c r="P503" s="48"/>
      <c r="Q503" s="48"/>
    </row>
    <row r="504" spans="3:17">
      <c r="C504" s="48"/>
      <c r="D504" s="48"/>
      <c r="E504" s="48"/>
      <c r="F504" s="48"/>
      <c r="G504" s="48"/>
      <c r="H504" s="48"/>
      <c r="I504" s="48"/>
      <c r="J504" s="48"/>
      <c r="K504" s="48"/>
      <c r="L504" s="48"/>
      <c r="M504" s="48"/>
      <c r="N504" s="48"/>
      <c r="O504" s="48"/>
      <c r="P504" s="48"/>
      <c r="Q504" s="48"/>
    </row>
    <row r="505" spans="3:17">
      <c r="C505" s="48"/>
      <c r="D505" s="48"/>
      <c r="E505" s="48"/>
      <c r="F505" s="48"/>
      <c r="G505" s="48"/>
      <c r="H505" s="48"/>
      <c r="I505" s="48"/>
      <c r="J505" s="48"/>
      <c r="K505" s="48"/>
      <c r="L505" s="48"/>
      <c r="M505" s="48"/>
      <c r="N505" s="48"/>
      <c r="O505" s="48"/>
      <c r="P505" s="48"/>
      <c r="Q505" s="48"/>
    </row>
    <row r="506" spans="3:17">
      <c r="C506" s="48"/>
      <c r="D506" s="48"/>
      <c r="E506" s="48"/>
      <c r="F506" s="48"/>
      <c r="G506" s="48"/>
      <c r="H506" s="48"/>
      <c r="I506" s="48"/>
      <c r="J506" s="48"/>
      <c r="K506" s="48"/>
      <c r="L506" s="48"/>
      <c r="M506" s="48"/>
      <c r="N506" s="48"/>
      <c r="O506" s="48"/>
      <c r="P506" s="48"/>
      <c r="Q506" s="48"/>
    </row>
    <row r="507" spans="3:17">
      <c r="C507" s="48"/>
      <c r="D507" s="48"/>
      <c r="E507" s="48"/>
      <c r="F507" s="48"/>
      <c r="G507" s="48"/>
      <c r="H507" s="48"/>
      <c r="I507" s="48"/>
      <c r="J507" s="48"/>
      <c r="K507" s="48"/>
      <c r="L507" s="48"/>
      <c r="M507" s="48"/>
      <c r="N507" s="48"/>
      <c r="O507" s="48"/>
      <c r="P507" s="48"/>
      <c r="Q507" s="48"/>
    </row>
    <row r="508" spans="3:17">
      <c r="C508" s="48"/>
      <c r="D508" s="48"/>
      <c r="E508" s="48"/>
      <c r="F508" s="48"/>
      <c r="G508" s="48"/>
      <c r="H508" s="48"/>
      <c r="I508" s="48"/>
      <c r="J508" s="48"/>
      <c r="K508" s="48"/>
      <c r="L508" s="48"/>
      <c r="M508" s="48"/>
      <c r="N508" s="48"/>
      <c r="O508" s="48"/>
      <c r="P508" s="48"/>
      <c r="Q508" s="48"/>
    </row>
    <row r="509" spans="3:17">
      <c r="C509" s="48"/>
      <c r="D509" s="48"/>
      <c r="E509" s="48"/>
      <c r="F509" s="48"/>
      <c r="G509" s="48"/>
      <c r="H509" s="48"/>
      <c r="I509" s="48"/>
      <c r="J509" s="48"/>
      <c r="K509" s="48"/>
      <c r="L509" s="48"/>
      <c r="M509" s="48"/>
      <c r="N509" s="48"/>
      <c r="O509" s="48"/>
      <c r="P509" s="48"/>
      <c r="Q509" s="48"/>
    </row>
    <row r="510" spans="3:17">
      <c r="C510" s="48"/>
      <c r="D510" s="48"/>
      <c r="E510" s="48"/>
      <c r="F510" s="48"/>
      <c r="G510" s="48"/>
      <c r="H510" s="48"/>
      <c r="I510" s="48"/>
      <c r="J510" s="48"/>
      <c r="K510" s="48"/>
      <c r="L510" s="48"/>
      <c r="M510" s="48"/>
      <c r="N510" s="48"/>
      <c r="O510" s="48"/>
      <c r="P510" s="48"/>
      <c r="Q510" s="48"/>
    </row>
    <row r="511" spans="3:17">
      <c r="C511" s="48"/>
      <c r="D511" s="48"/>
      <c r="E511" s="48"/>
      <c r="F511" s="48"/>
      <c r="G511" s="48"/>
      <c r="H511" s="48"/>
      <c r="I511" s="48"/>
      <c r="J511" s="48"/>
      <c r="K511" s="48"/>
      <c r="L511" s="48"/>
      <c r="M511" s="48"/>
      <c r="N511" s="48"/>
      <c r="O511" s="48"/>
      <c r="P511" s="48"/>
      <c r="Q511" s="48"/>
    </row>
    <row r="512" spans="3:17">
      <c r="C512" s="48"/>
      <c r="D512" s="48"/>
      <c r="E512" s="48"/>
      <c r="F512" s="48"/>
      <c r="G512" s="48"/>
      <c r="H512" s="48"/>
      <c r="I512" s="48"/>
      <c r="J512" s="48"/>
      <c r="K512" s="48"/>
      <c r="L512" s="48"/>
      <c r="M512" s="48"/>
      <c r="N512" s="48"/>
      <c r="O512" s="48"/>
      <c r="P512" s="48"/>
      <c r="Q512" s="48"/>
    </row>
    <row r="513" spans="3:17">
      <c r="C513" s="48"/>
      <c r="D513" s="48"/>
      <c r="E513" s="48"/>
      <c r="F513" s="48"/>
      <c r="G513" s="48"/>
      <c r="H513" s="48"/>
      <c r="I513" s="48"/>
      <c r="J513" s="48"/>
      <c r="K513" s="48"/>
      <c r="L513" s="48"/>
      <c r="M513" s="48"/>
      <c r="N513" s="48"/>
      <c r="O513" s="48"/>
      <c r="P513" s="48"/>
      <c r="Q513" s="48"/>
    </row>
    <row r="514" spans="3:17">
      <c r="C514" s="48"/>
      <c r="D514" s="48"/>
      <c r="E514" s="48"/>
      <c r="F514" s="48"/>
      <c r="G514" s="48"/>
      <c r="H514" s="48"/>
      <c r="I514" s="48"/>
      <c r="J514" s="48"/>
      <c r="K514" s="48"/>
      <c r="L514" s="48"/>
      <c r="M514" s="48"/>
      <c r="N514" s="48"/>
      <c r="O514" s="48"/>
      <c r="P514" s="48"/>
      <c r="Q514" s="48"/>
    </row>
    <row r="515" spans="3:17">
      <c r="C515" s="48"/>
      <c r="D515" s="48"/>
      <c r="E515" s="48"/>
      <c r="F515" s="48"/>
      <c r="G515" s="48"/>
      <c r="H515" s="48"/>
      <c r="I515" s="48"/>
      <c r="J515" s="48"/>
      <c r="K515" s="48"/>
      <c r="L515" s="48"/>
      <c r="M515" s="48"/>
      <c r="N515" s="48"/>
      <c r="O515" s="48"/>
      <c r="P515" s="48"/>
      <c r="Q515" s="48"/>
    </row>
    <row r="516" spans="3:17">
      <c r="C516" s="48"/>
      <c r="D516" s="48"/>
      <c r="E516" s="48"/>
      <c r="F516" s="48"/>
      <c r="G516" s="48"/>
      <c r="H516" s="48"/>
      <c r="I516" s="48"/>
      <c r="J516" s="48"/>
      <c r="K516" s="48"/>
      <c r="L516" s="48"/>
      <c r="M516" s="48"/>
      <c r="N516" s="48"/>
      <c r="O516" s="48"/>
      <c r="P516" s="48"/>
      <c r="Q516" s="48"/>
    </row>
    <row r="517" spans="3:17">
      <c r="C517" s="48"/>
      <c r="D517" s="48"/>
      <c r="E517" s="48"/>
      <c r="F517" s="48"/>
      <c r="G517" s="48"/>
      <c r="H517" s="48"/>
      <c r="I517" s="48"/>
      <c r="J517" s="48"/>
    </row>
    <row r="518" spans="3:17">
      <c r="C518" s="48"/>
      <c r="D518" s="48"/>
      <c r="E518" s="48"/>
      <c r="F518" s="48"/>
      <c r="G518" s="48"/>
      <c r="H518" s="48"/>
      <c r="I518" s="48"/>
      <c r="J518" s="48"/>
    </row>
    <row r="519" spans="3:17">
      <c r="C519" s="48"/>
      <c r="D519" s="48"/>
      <c r="E519" s="48"/>
      <c r="F519" s="48"/>
      <c r="G519" s="48"/>
      <c r="H519" s="48"/>
      <c r="I519" s="48"/>
      <c r="J519" s="48"/>
    </row>
    <row r="520" spans="3:17">
      <c r="C520" s="48"/>
      <c r="D520" s="48"/>
      <c r="E520" s="48"/>
      <c r="F520" s="48"/>
      <c r="G520" s="48"/>
      <c r="H520" s="48"/>
      <c r="I520" s="48"/>
      <c r="J520" s="48"/>
    </row>
    <row r="521" spans="3:17">
      <c r="C521" s="48"/>
      <c r="D521" s="48"/>
      <c r="E521" s="48"/>
      <c r="F521" s="48"/>
      <c r="G521" s="48"/>
      <c r="H521" s="48"/>
      <c r="I521" s="48"/>
      <c r="J521" s="48"/>
    </row>
    <row r="522" spans="3:17">
      <c r="C522" s="48"/>
      <c r="D522" s="48"/>
      <c r="E522" s="48"/>
      <c r="F522" s="48"/>
      <c r="G522" s="48"/>
      <c r="H522" s="48"/>
      <c r="I522" s="48"/>
      <c r="J522" s="48"/>
    </row>
    <row r="523" spans="3:17">
      <c r="C523" s="48"/>
      <c r="D523" s="48"/>
      <c r="E523" s="48"/>
      <c r="F523" s="48"/>
      <c r="G523" s="48"/>
      <c r="H523" s="48"/>
      <c r="I523" s="48"/>
      <c r="J523" s="48"/>
    </row>
  </sheetData>
  <mergeCells count="9">
    <mergeCell ref="L4:M4"/>
    <mergeCell ref="G109:H109"/>
    <mergeCell ref="C298:F298"/>
    <mergeCell ref="C291:F291"/>
    <mergeCell ref="C294:F294"/>
    <mergeCell ref="C295:F295"/>
    <mergeCell ref="G150:H150"/>
    <mergeCell ref="D5:F5"/>
    <mergeCell ref="D9:F9"/>
  </mergeCells>
  <phoneticPr fontId="0" type="noConversion"/>
  <pageMargins left="0.52" right="0.25" top="0.77" bottom="0.75" header="0.5" footer="0.5"/>
  <pageSetup scale="38" fitToHeight="0" orientation="portrait" r:id="rId1"/>
  <headerFooter alignWithMargins="0">
    <oddHeader>&amp;R&amp;"Times New Roman,Regular"Compliance Filing Attachment A</oddHeader>
  </headerFooter>
  <rowBreaks count="4" manualBreakCount="4">
    <brk id="61" max="16383" man="1"/>
    <brk id="123" max="16383" man="1"/>
    <brk id="190" max="12" man="1"/>
    <brk id="24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DA1F5-32C7-465E-9E7D-7B6507164C5E}">
  <sheetPr>
    <tabColor rgb="FF92D050"/>
    <pageSetUpPr fitToPage="1"/>
  </sheetPr>
  <dimension ref="A1:H267"/>
  <sheetViews>
    <sheetView zoomScaleNormal="100" zoomScaleSheetLayoutView="75" workbookViewId="0">
      <selection sqref="A1:D1"/>
    </sheetView>
  </sheetViews>
  <sheetFormatPr defaultColWidth="8.88671875" defaultRowHeight="15.75"/>
  <cols>
    <col min="1" max="1" width="7.21875" style="116" customWidth="1"/>
    <col min="2" max="2" width="57.6640625" style="116" customWidth="1"/>
    <col min="3" max="3" width="28.21875" style="116" customWidth="1"/>
    <col min="4" max="4" width="10.88671875" style="117" bestFit="1" customWidth="1"/>
    <col min="5" max="5" width="9.21875" style="116" bestFit="1" customWidth="1"/>
    <col min="6" max="6" width="8.88671875" style="116"/>
    <col min="7" max="16384" width="8.88671875" style="93"/>
  </cols>
  <sheetData>
    <row r="1" spans="1:7" ht="26.25" customHeight="1">
      <c r="A1" s="945" t="s">
        <v>604</v>
      </c>
      <c r="B1" s="945"/>
      <c r="C1" s="945"/>
      <c r="D1" s="945"/>
    </row>
    <row r="2" spans="1:7">
      <c r="A2" s="945" t="s">
        <v>684</v>
      </c>
      <c r="B2" s="945"/>
      <c r="C2" s="945"/>
      <c r="D2" s="945"/>
    </row>
    <row r="3" spans="1:7">
      <c r="A3" s="945" t="str">
        <f>'Appendix A'!$D$9</f>
        <v>HURLEY AVENUE PROJECT - SYSTEM DELIVERABILITY UPGRADE</v>
      </c>
      <c r="B3" s="945"/>
      <c r="C3" s="945"/>
      <c r="D3" s="945"/>
    </row>
    <row r="6" spans="1:7">
      <c r="B6" s="125" t="s">
        <v>410</v>
      </c>
      <c r="C6" s="116" t="s">
        <v>287</v>
      </c>
    </row>
    <row r="7" spans="1:7">
      <c r="A7" s="349">
        <v>1</v>
      </c>
      <c r="B7" s="116" t="s">
        <v>213</v>
      </c>
      <c r="D7" s="121">
        <v>0</v>
      </c>
    </row>
    <row r="8" spans="1:7">
      <c r="A8" s="349"/>
      <c r="D8" s="126"/>
    </row>
    <row r="9" spans="1:7">
      <c r="A9" s="349"/>
      <c r="B9" s="125" t="s">
        <v>411</v>
      </c>
      <c r="C9" s="116" t="s">
        <v>287</v>
      </c>
      <c r="G9" s="124"/>
    </row>
    <row r="10" spans="1:7">
      <c r="A10" s="788">
        <f>+A7+1</f>
        <v>2</v>
      </c>
      <c r="B10" s="116" t="s">
        <v>214</v>
      </c>
      <c r="D10" s="121">
        <v>0</v>
      </c>
      <c r="G10" s="124"/>
    </row>
    <row r="11" spans="1:7">
      <c r="A11" s="788">
        <f>+A10+1</f>
        <v>3</v>
      </c>
      <c r="B11" s="116" t="s">
        <v>285</v>
      </c>
      <c r="D11" s="121">
        <v>0</v>
      </c>
      <c r="G11" s="123"/>
    </row>
    <row r="12" spans="1:7">
      <c r="A12" s="788">
        <f>+A11+1</f>
        <v>4</v>
      </c>
      <c r="B12" s="116" t="s">
        <v>170</v>
      </c>
      <c r="D12" s="121">
        <v>0</v>
      </c>
    </row>
    <row r="13" spans="1:7">
      <c r="A13" s="788">
        <f>+A12+1</f>
        <v>5</v>
      </c>
      <c r="B13" s="116" t="s">
        <v>286</v>
      </c>
      <c r="D13" s="121">
        <v>0</v>
      </c>
    </row>
    <row r="14" spans="1:7">
      <c r="A14" s="349"/>
      <c r="D14" s="122"/>
    </row>
    <row r="15" spans="1:7">
      <c r="A15" s="349">
        <f>+A13+1</f>
        <v>6</v>
      </c>
      <c r="B15" s="116" t="s">
        <v>169</v>
      </c>
      <c r="C15" s="116" t="str">
        <f>"Sum lines "&amp;A10&amp;"-"&amp;A13&amp;" + line "&amp;A7&amp;""</f>
        <v>Sum lines 2-5 + line 1</v>
      </c>
      <c r="D15" s="120">
        <f>SUM(D10:D13)+D7</f>
        <v>0</v>
      </c>
    </row>
    <row r="16" spans="1:7">
      <c r="D16" s="120"/>
    </row>
    <row r="17" spans="1:8">
      <c r="D17" s="524"/>
      <c r="E17" s="349"/>
    </row>
    <row r="18" spans="1:8" s="118" customFormat="1">
      <c r="A18" s="116"/>
      <c r="B18" s="116"/>
      <c r="C18" s="116"/>
      <c r="D18" s="526"/>
      <c r="E18" s="122"/>
      <c r="F18" s="527"/>
    </row>
    <row r="19" spans="1:8" ht="82.5" customHeight="1">
      <c r="A19" s="240" t="s">
        <v>168</v>
      </c>
      <c r="B19" s="947" t="s">
        <v>323</v>
      </c>
      <c r="C19" s="947"/>
      <c r="D19" s="947"/>
      <c r="E19" s="947"/>
      <c r="F19" s="947"/>
    </row>
    <row r="20" spans="1:8" ht="38.25" customHeight="1">
      <c r="A20" s="240" t="s">
        <v>167</v>
      </c>
      <c r="B20" s="947" t="s">
        <v>220</v>
      </c>
      <c r="C20" s="947"/>
      <c r="D20" s="947"/>
      <c r="E20" s="947"/>
      <c r="F20" s="947"/>
    </row>
    <row r="22" spans="1:8">
      <c r="A22" s="240" t="s">
        <v>288</v>
      </c>
      <c r="B22" s="116" t="s">
        <v>166</v>
      </c>
      <c r="D22" s="120"/>
    </row>
    <row r="23" spans="1:8">
      <c r="A23" s="203"/>
      <c r="B23" s="203"/>
      <c r="C23" s="203"/>
      <c r="D23" s="203"/>
      <c r="E23" s="203"/>
      <c r="F23" s="203"/>
      <c r="G23" s="251"/>
      <c r="H23" s="251"/>
    </row>
    <row r="24" spans="1:8">
      <c r="A24" s="528" t="s">
        <v>221</v>
      </c>
      <c r="B24" s="203"/>
      <c r="C24" s="203"/>
      <c r="D24" s="203"/>
      <c r="E24" s="203"/>
      <c r="F24" s="529"/>
      <c r="G24" s="252"/>
      <c r="H24" s="252"/>
    </row>
    <row r="25" spans="1:8">
      <c r="A25" s="530">
        <f>+A15</f>
        <v>6</v>
      </c>
      <c r="B25" s="116" t="s">
        <v>0</v>
      </c>
      <c r="C25" s="531" t="s">
        <v>222</v>
      </c>
      <c r="D25" s="531" t="s">
        <v>313</v>
      </c>
      <c r="E25" s="531" t="s">
        <v>228</v>
      </c>
      <c r="F25" s="531" t="s">
        <v>229</v>
      </c>
    </row>
    <row r="26" spans="1:8">
      <c r="A26" s="532">
        <f>+A25+1</f>
        <v>7</v>
      </c>
      <c r="B26" s="533" t="s">
        <v>223</v>
      </c>
      <c r="C26" s="489"/>
      <c r="D26" s="534"/>
      <c r="E26" s="534">
        <v>0</v>
      </c>
      <c r="F26" s="534">
        <v>0</v>
      </c>
    </row>
    <row r="27" spans="1:8">
      <c r="A27" s="532">
        <f t="shared" ref="A27:A36" si="0">+A26+1</f>
        <v>8</v>
      </c>
      <c r="B27" s="533" t="s">
        <v>224</v>
      </c>
      <c r="C27" s="489">
        <f>SUM(D27:F27)</f>
        <v>0</v>
      </c>
      <c r="D27" s="534">
        <v>0</v>
      </c>
      <c r="E27" s="534">
        <v>0</v>
      </c>
      <c r="F27" s="534">
        <v>0</v>
      </c>
    </row>
    <row r="28" spans="1:8">
      <c r="A28" s="532">
        <f t="shared" si="0"/>
        <v>9</v>
      </c>
      <c r="B28" s="533" t="s">
        <v>225</v>
      </c>
      <c r="C28" s="489">
        <f>SUM(D28:F28)</f>
        <v>0</v>
      </c>
      <c r="D28" s="534">
        <v>0</v>
      </c>
      <c r="E28" s="534">
        <v>0</v>
      </c>
      <c r="F28" s="534">
        <v>0</v>
      </c>
    </row>
    <row r="29" spans="1:8">
      <c r="A29" s="532">
        <f t="shared" si="0"/>
        <v>10</v>
      </c>
      <c r="B29" s="789" t="s">
        <v>115</v>
      </c>
      <c r="C29" s="489">
        <f>SUM(D29:F29)</f>
        <v>0</v>
      </c>
      <c r="D29" s="534">
        <v>0</v>
      </c>
      <c r="E29" s="534">
        <v>0</v>
      </c>
      <c r="F29" s="534">
        <v>0</v>
      </c>
    </row>
    <row r="30" spans="1:8">
      <c r="A30" s="532">
        <f t="shared" si="0"/>
        <v>11</v>
      </c>
      <c r="B30" s="789"/>
      <c r="C30" s="489"/>
      <c r="D30" s="534"/>
      <c r="E30" s="534"/>
      <c r="F30" s="534"/>
    </row>
    <row r="31" spans="1:8">
      <c r="A31" s="532">
        <f t="shared" si="0"/>
        <v>12</v>
      </c>
      <c r="B31" s="535" t="s">
        <v>35</v>
      </c>
      <c r="C31" s="536">
        <f>SUM(C26:C30)</f>
        <v>0</v>
      </c>
      <c r="D31" s="536">
        <f t="shared" ref="D31:F31" si="1">SUM(D26:D30)</f>
        <v>0</v>
      </c>
      <c r="E31" s="536">
        <f t="shared" si="1"/>
        <v>0</v>
      </c>
      <c r="F31" s="536">
        <f t="shared" si="1"/>
        <v>0</v>
      </c>
    </row>
    <row r="32" spans="1:8">
      <c r="A32" s="532">
        <f t="shared" si="0"/>
        <v>13</v>
      </c>
      <c r="B32" s="535" t="s">
        <v>226</v>
      </c>
      <c r="C32" s="489"/>
      <c r="D32" s="489"/>
      <c r="E32" s="489"/>
      <c r="F32" s="489"/>
    </row>
    <row r="33" spans="1:6">
      <c r="A33" s="532">
        <f t="shared" si="0"/>
        <v>14</v>
      </c>
      <c r="B33" s="535" t="s">
        <v>231</v>
      </c>
      <c r="C33" s="489">
        <f>SUM(D33:F33)</f>
        <v>0</v>
      </c>
      <c r="D33" s="534">
        <v>0</v>
      </c>
      <c r="E33" s="534">
        <v>0</v>
      </c>
      <c r="F33" s="534">
        <v>0</v>
      </c>
    </row>
    <row r="34" spans="1:6">
      <c r="A34" s="532">
        <f t="shared" si="0"/>
        <v>15</v>
      </c>
      <c r="B34" s="537" t="s">
        <v>227</v>
      </c>
      <c r="C34" s="536">
        <f>+C31-C33</f>
        <v>0</v>
      </c>
      <c r="D34" s="536">
        <f>+D31-D33</f>
        <v>0</v>
      </c>
      <c r="E34" s="536">
        <f>+E31-E33</f>
        <v>0</v>
      </c>
      <c r="F34" s="536">
        <f>+F31-F33</f>
        <v>0</v>
      </c>
    </row>
    <row r="35" spans="1:6">
      <c r="A35" s="532">
        <f t="shared" si="0"/>
        <v>16</v>
      </c>
      <c r="B35" s="535" t="s">
        <v>230</v>
      </c>
      <c r="C35" s="790">
        <v>0</v>
      </c>
      <c r="D35" s="790">
        <v>0</v>
      </c>
      <c r="E35" s="790">
        <v>0</v>
      </c>
      <c r="F35" s="790">
        <v>0</v>
      </c>
    </row>
    <row r="36" spans="1:6">
      <c r="A36" s="532">
        <f t="shared" si="0"/>
        <v>17</v>
      </c>
      <c r="B36" s="116" t="str">
        <f>+B48</f>
        <v>Total</v>
      </c>
      <c r="C36" s="526">
        <f>+C34+C35</f>
        <v>0</v>
      </c>
      <c r="D36" s="526">
        <f>+D34+D35</f>
        <v>0</v>
      </c>
      <c r="E36" s="526">
        <f>+E34+E35</f>
        <v>0</v>
      </c>
      <c r="F36" s="526">
        <f>+F34+F35</f>
        <v>0</v>
      </c>
    </row>
    <row r="37" spans="1:6">
      <c r="A37" s="349"/>
    </row>
    <row r="38" spans="1:6">
      <c r="A38" s="349">
        <v>9</v>
      </c>
      <c r="B38" s="116" t="s">
        <v>165</v>
      </c>
      <c r="C38" s="538" t="s">
        <v>70</v>
      </c>
      <c r="D38" s="116"/>
    </row>
    <row r="39" spans="1:6">
      <c r="A39" s="349">
        <f>+A38+1</f>
        <v>10</v>
      </c>
      <c r="B39" s="539" t="s">
        <v>164</v>
      </c>
      <c r="C39" s="121">
        <v>0</v>
      </c>
      <c r="D39" s="116"/>
    </row>
    <row r="40" spans="1:6">
      <c r="A40" s="349">
        <f t="shared" ref="A40:A48" si="2">+A39+1</f>
        <v>11</v>
      </c>
      <c r="B40" s="539" t="s">
        <v>171</v>
      </c>
      <c r="C40" s="121">
        <v>0</v>
      </c>
      <c r="D40" s="116"/>
    </row>
    <row r="41" spans="1:6">
      <c r="A41" s="349">
        <f t="shared" si="2"/>
        <v>12</v>
      </c>
      <c r="B41" s="539" t="s">
        <v>163</v>
      </c>
      <c r="C41" s="121">
        <v>0</v>
      </c>
      <c r="D41" s="116"/>
    </row>
    <row r="42" spans="1:6">
      <c r="A42" s="349">
        <f t="shared" si="2"/>
        <v>13</v>
      </c>
      <c r="B42" s="539" t="s">
        <v>162</v>
      </c>
      <c r="C42" s="121">
        <v>0</v>
      </c>
      <c r="D42" s="116"/>
    </row>
    <row r="43" spans="1:6">
      <c r="A43" s="349">
        <f t="shared" si="2"/>
        <v>14</v>
      </c>
      <c r="B43" s="539" t="s">
        <v>161</v>
      </c>
      <c r="C43" s="121">
        <v>0</v>
      </c>
      <c r="D43" s="116"/>
    </row>
    <row r="44" spans="1:6">
      <c r="A44" s="349">
        <f t="shared" si="2"/>
        <v>15</v>
      </c>
      <c r="B44" s="539"/>
      <c r="C44" s="121">
        <v>0</v>
      </c>
      <c r="D44" s="116"/>
    </row>
    <row r="45" spans="1:6">
      <c r="A45" s="349">
        <f t="shared" si="2"/>
        <v>16</v>
      </c>
      <c r="B45" s="539"/>
      <c r="C45" s="121">
        <v>0</v>
      </c>
      <c r="D45" s="116"/>
    </row>
    <row r="46" spans="1:6">
      <c r="A46" s="349">
        <f t="shared" si="2"/>
        <v>17</v>
      </c>
      <c r="B46" s="539"/>
      <c r="C46" s="121"/>
      <c r="D46" s="116"/>
    </row>
    <row r="47" spans="1:6">
      <c r="A47" s="349">
        <f t="shared" si="2"/>
        <v>18</v>
      </c>
      <c r="B47" s="539"/>
      <c r="C47" s="121">
        <v>0</v>
      </c>
      <c r="D47" s="116"/>
    </row>
    <row r="48" spans="1:6">
      <c r="A48" s="349">
        <f t="shared" si="2"/>
        <v>19</v>
      </c>
      <c r="B48" s="539" t="s">
        <v>35</v>
      </c>
      <c r="C48" s="540">
        <f>SUM(C39:C47)</f>
        <v>0</v>
      </c>
      <c r="D48" s="116"/>
    </row>
    <row r="50" spans="1:6" ht="99" customHeight="1">
      <c r="A50" s="240"/>
      <c r="B50" s="946"/>
      <c r="C50" s="946"/>
      <c r="D50" s="946"/>
      <c r="E50" s="946"/>
      <c r="F50" s="946"/>
    </row>
    <row r="125" spans="4:4">
      <c r="D125" s="525"/>
    </row>
    <row r="244" spans="7:7">
      <c r="G244" s="116"/>
    </row>
    <row r="245" spans="7:7" ht="99.75" customHeight="1">
      <c r="G245" s="116"/>
    </row>
    <row r="246" spans="7:7">
      <c r="G246" s="116"/>
    </row>
    <row r="247" spans="7:7">
      <c r="G247" s="116"/>
    </row>
    <row r="248" spans="7:7">
      <c r="G248" s="116"/>
    </row>
    <row r="249" spans="7:7">
      <c r="G249" s="116"/>
    </row>
    <row r="250" spans="7:7">
      <c r="G250" s="116"/>
    </row>
    <row r="251" spans="7:7">
      <c r="G251" s="116"/>
    </row>
    <row r="252" spans="7:7">
      <c r="G252" s="116"/>
    </row>
    <row r="253" spans="7:7">
      <c r="G253" s="116"/>
    </row>
    <row r="254" spans="7:7">
      <c r="G254" s="116"/>
    </row>
    <row r="255" spans="7:7">
      <c r="G255" s="116"/>
    </row>
    <row r="256" spans="7:7">
      <c r="G256" s="116"/>
    </row>
    <row r="257" spans="7:7">
      <c r="G257" s="116"/>
    </row>
    <row r="258" spans="7:7">
      <c r="G258" s="116"/>
    </row>
    <row r="259" spans="7:7">
      <c r="G259" s="116"/>
    </row>
    <row r="260" spans="7:7">
      <c r="G260" s="116"/>
    </row>
    <row r="261" spans="7:7">
      <c r="G261" s="116"/>
    </row>
    <row r="262" spans="7:7">
      <c r="G262" s="116"/>
    </row>
    <row r="263" spans="7:7">
      <c r="G263" s="116"/>
    </row>
    <row r="264" spans="7:7">
      <c r="G264" s="116"/>
    </row>
    <row r="265" spans="7:7">
      <c r="G265" s="116"/>
    </row>
    <row r="266" spans="7:7" ht="40.5" customHeight="1">
      <c r="G266" s="116"/>
    </row>
    <row r="267" spans="7:7">
      <c r="G267" s="116"/>
    </row>
  </sheetData>
  <mergeCells count="6">
    <mergeCell ref="A1:D1"/>
    <mergeCell ref="B50:F50"/>
    <mergeCell ref="A2:D2"/>
    <mergeCell ref="A3:D3"/>
    <mergeCell ref="B19:F19"/>
    <mergeCell ref="B20:F20"/>
  </mergeCells>
  <phoneticPr fontId="0" type="noConversion"/>
  <pageMargins left="0.75" right="0.75" top="1.28" bottom="1" header="0.5" footer="0.5"/>
  <pageSetup scale="61" orientation="portrait" r:id="rId1"/>
  <headerFooter alignWithMargins="0">
    <oddHeader xml:space="preserve">&amp;RCompliance Filing Attachment A
</oddHeader>
  </headerFooter>
  <rowBreaks count="1" manualBreakCount="1">
    <brk id="6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F28A2-C555-4E40-98F1-A4B76371E01E}">
  <sheetPr>
    <tabColor rgb="FF92D050"/>
    <pageSetUpPr fitToPage="1"/>
  </sheetPr>
  <dimension ref="A1:M176"/>
  <sheetViews>
    <sheetView zoomScaleNormal="100" zoomScaleSheetLayoutView="85" workbookViewId="0">
      <selection sqref="A1:F1"/>
    </sheetView>
  </sheetViews>
  <sheetFormatPr defaultColWidth="8.88671875" defaultRowHeight="15.75"/>
  <cols>
    <col min="1" max="1" width="5" style="349" customWidth="1"/>
    <col min="2" max="2" width="3.21875" style="116" customWidth="1"/>
    <col min="3" max="3" width="48.21875" style="116" customWidth="1"/>
    <col min="4" max="4" width="21" style="116" customWidth="1"/>
    <col min="5" max="5" width="13.6640625" style="116" customWidth="1"/>
    <col min="6" max="6" width="18.109375" style="116" customWidth="1"/>
    <col min="7" max="7" width="15.21875" style="93" customWidth="1"/>
    <col min="8" max="8" width="11.88671875" style="430" customWidth="1"/>
    <col min="9" max="9" width="13" style="93" customWidth="1"/>
    <col min="10" max="10" width="10.6640625" style="93" customWidth="1"/>
    <col min="11" max="11" width="9" style="93" customWidth="1"/>
    <col min="12" max="13" width="7.5546875" style="93" customWidth="1"/>
    <col min="14" max="16384" width="8.88671875" style="93"/>
  </cols>
  <sheetData>
    <row r="1" spans="1:13">
      <c r="A1" s="945" t="s">
        <v>604</v>
      </c>
      <c r="B1" s="945"/>
      <c r="C1" s="945"/>
      <c r="D1" s="945"/>
      <c r="E1" s="945"/>
      <c r="F1" s="945"/>
    </row>
    <row r="2" spans="1:13" ht="15.75" customHeight="1">
      <c r="A2" s="945" t="s">
        <v>277</v>
      </c>
      <c r="B2" s="945"/>
      <c r="C2" s="945"/>
      <c r="D2" s="945"/>
      <c r="E2" s="945"/>
      <c r="F2" s="945"/>
      <c r="G2" s="395"/>
      <c r="H2" s="429"/>
      <c r="I2" s="395"/>
      <c r="J2" s="395"/>
      <c r="K2" s="395"/>
      <c r="L2" s="395"/>
      <c r="M2" s="395"/>
    </row>
    <row r="3" spans="1:13" ht="18">
      <c r="A3" s="945" t="str">
        <f>'Appendix A'!$D$9</f>
        <v>HURLEY AVENUE PROJECT - SYSTEM DELIVERABILITY UPGRADE</v>
      </c>
      <c r="B3" s="945"/>
      <c r="C3" s="945"/>
      <c r="D3" s="945"/>
      <c r="E3" s="945"/>
      <c r="F3" s="945"/>
      <c r="G3" s="395"/>
      <c r="H3" s="429"/>
      <c r="I3" s="395"/>
      <c r="J3" s="395"/>
      <c r="K3" s="395"/>
      <c r="L3" s="395"/>
      <c r="M3" s="395"/>
    </row>
    <row r="5" spans="1:13">
      <c r="A5" s="543" t="s">
        <v>160</v>
      </c>
    </row>
    <row r="6" spans="1:13" ht="16.5" thickBot="1">
      <c r="A6" s="653"/>
      <c r="B6" s="653"/>
      <c r="C6" s="653"/>
      <c r="D6" s="653"/>
      <c r="E6" s="653"/>
      <c r="F6" s="653"/>
      <c r="G6" s="653"/>
      <c r="H6" s="653"/>
      <c r="I6" s="764"/>
      <c r="J6" s="948"/>
      <c r="K6" s="949"/>
      <c r="L6" s="949"/>
      <c r="M6" s="949"/>
    </row>
    <row r="7" spans="1:13" ht="47.25">
      <c r="A7" s="878">
        <v>1</v>
      </c>
      <c r="B7" s="879"/>
      <c r="C7" s="880" t="s">
        <v>159</v>
      </c>
      <c r="D7" s="704" t="s">
        <v>415</v>
      </c>
      <c r="E7" s="704" t="s">
        <v>125</v>
      </c>
      <c r="F7" s="704" t="s">
        <v>122</v>
      </c>
      <c r="G7" s="881" t="s">
        <v>667</v>
      </c>
      <c r="H7" s="217" t="s">
        <v>668</v>
      </c>
      <c r="J7" s="133"/>
      <c r="K7" s="133"/>
      <c r="L7" s="133"/>
      <c r="M7" s="133"/>
    </row>
    <row r="8" spans="1:13">
      <c r="A8" s="350">
        <f t="shared" ref="A8:A21" si="0">+A7+1</f>
        <v>2</v>
      </c>
      <c r="C8" s="542" t="s">
        <v>123</v>
      </c>
      <c r="D8" s="116" t="s">
        <v>133</v>
      </c>
      <c r="E8" s="631">
        <v>2018</v>
      </c>
      <c r="F8" s="653">
        <v>0</v>
      </c>
      <c r="G8" s="653">
        <v>0</v>
      </c>
      <c r="H8" s="876">
        <f>+F8-G8</f>
        <v>0</v>
      </c>
      <c r="I8" s="134"/>
      <c r="J8" s="133"/>
      <c r="K8" s="133"/>
      <c r="L8" s="133"/>
      <c r="M8" s="133"/>
    </row>
    <row r="9" spans="1:13">
      <c r="A9" s="350">
        <f t="shared" si="0"/>
        <v>3</v>
      </c>
      <c r="C9" s="542" t="s">
        <v>139</v>
      </c>
      <c r="D9" s="866" t="s">
        <v>509</v>
      </c>
      <c r="E9" s="632">
        <f>+$E$8</f>
        <v>2018</v>
      </c>
      <c r="F9" s="653">
        <v>0</v>
      </c>
      <c r="G9" s="653">
        <v>0</v>
      </c>
      <c r="H9" s="876">
        <f t="shared" ref="H9:H20" si="1">+F9-G9</f>
        <v>0</v>
      </c>
      <c r="J9" s="133"/>
      <c r="K9" s="133"/>
      <c r="L9" s="133"/>
      <c r="M9" s="133"/>
    </row>
    <row r="10" spans="1:13">
      <c r="A10" s="350">
        <f t="shared" si="0"/>
        <v>4</v>
      </c>
      <c r="B10" s="349"/>
      <c r="C10" s="542" t="s">
        <v>138</v>
      </c>
      <c r="D10" s="116" t="s">
        <v>133</v>
      </c>
      <c r="E10" s="632">
        <f t="shared" ref="E10:E15" si="2">+$E$8</f>
        <v>2018</v>
      </c>
      <c r="F10" s="653">
        <v>0</v>
      </c>
      <c r="G10" s="653">
        <v>0</v>
      </c>
      <c r="H10" s="876">
        <f t="shared" si="1"/>
        <v>0</v>
      </c>
      <c r="I10" s="119"/>
      <c r="J10" s="133"/>
      <c r="K10" s="133"/>
      <c r="L10" s="133"/>
      <c r="M10" s="133"/>
    </row>
    <row r="11" spans="1:13">
      <c r="A11" s="350">
        <f t="shared" si="0"/>
        <v>5</v>
      </c>
      <c r="B11" s="349"/>
      <c r="C11" s="542" t="s">
        <v>137</v>
      </c>
      <c r="D11" s="116" t="s">
        <v>133</v>
      </c>
      <c r="E11" s="632">
        <f t="shared" si="2"/>
        <v>2018</v>
      </c>
      <c r="F11" s="653">
        <v>0</v>
      </c>
      <c r="G11" s="653">
        <v>0</v>
      </c>
      <c r="H11" s="876">
        <f t="shared" si="1"/>
        <v>0</v>
      </c>
      <c r="I11" s="119"/>
      <c r="J11" s="133"/>
      <c r="K11" s="133"/>
      <c r="L11" s="133"/>
      <c r="M11" s="133"/>
    </row>
    <row r="12" spans="1:13">
      <c r="A12" s="350">
        <f t="shared" si="0"/>
        <v>6</v>
      </c>
      <c r="C12" s="542" t="s">
        <v>136</v>
      </c>
      <c r="D12" s="866" t="s">
        <v>509</v>
      </c>
      <c r="E12" s="632">
        <f t="shared" si="2"/>
        <v>2018</v>
      </c>
      <c r="F12" s="653">
        <v>0</v>
      </c>
      <c r="G12" s="653">
        <v>0</v>
      </c>
      <c r="H12" s="876">
        <f t="shared" si="1"/>
        <v>0</v>
      </c>
      <c r="I12" s="119"/>
      <c r="J12" s="133"/>
      <c r="K12" s="133"/>
      <c r="L12" s="133"/>
      <c r="M12" s="133"/>
    </row>
    <row r="13" spans="1:13">
      <c r="A13" s="350">
        <f t="shared" si="0"/>
        <v>7</v>
      </c>
      <c r="C13" s="542" t="s">
        <v>135</v>
      </c>
      <c r="D13" s="116" t="s">
        <v>133</v>
      </c>
      <c r="E13" s="632">
        <f t="shared" si="2"/>
        <v>2018</v>
      </c>
      <c r="F13" s="653">
        <v>0</v>
      </c>
      <c r="G13" s="653">
        <v>0</v>
      </c>
      <c r="H13" s="876">
        <f t="shared" si="1"/>
        <v>0</v>
      </c>
    </row>
    <row r="14" spans="1:13">
      <c r="A14" s="350">
        <f t="shared" si="0"/>
        <v>8</v>
      </c>
      <c r="C14" s="542" t="s">
        <v>134</v>
      </c>
      <c r="D14" s="116" t="s">
        <v>133</v>
      </c>
      <c r="E14" s="632">
        <f t="shared" si="2"/>
        <v>2018</v>
      </c>
      <c r="F14" s="653">
        <v>0</v>
      </c>
      <c r="G14" s="653">
        <v>0</v>
      </c>
      <c r="H14" s="876">
        <f t="shared" si="1"/>
        <v>0</v>
      </c>
      <c r="I14" s="134"/>
      <c r="J14" s="133"/>
      <c r="K14" s="133"/>
      <c r="L14" s="133"/>
      <c r="M14" s="133"/>
    </row>
    <row r="15" spans="1:13">
      <c r="A15" s="350">
        <f t="shared" si="0"/>
        <v>9</v>
      </c>
      <c r="C15" s="542" t="s">
        <v>132</v>
      </c>
      <c r="D15" s="866" t="s">
        <v>509</v>
      </c>
      <c r="E15" s="632">
        <f t="shared" si="2"/>
        <v>2018</v>
      </c>
      <c r="F15" s="653">
        <v>0</v>
      </c>
      <c r="G15" s="653">
        <v>0</v>
      </c>
      <c r="H15" s="876">
        <f t="shared" si="1"/>
        <v>0</v>
      </c>
      <c r="J15" s="133"/>
      <c r="K15" s="133"/>
      <c r="L15" s="133"/>
      <c r="M15" s="133"/>
    </row>
    <row r="16" spans="1:13">
      <c r="A16" s="350">
        <f t="shared" si="0"/>
        <v>10</v>
      </c>
      <c r="B16" s="349"/>
      <c r="C16" s="542" t="s">
        <v>142</v>
      </c>
      <c r="D16" s="116" t="s">
        <v>133</v>
      </c>
      <c r="E16" s="632">
        <f>+E15+1</f>
        <v>2019</v>
      </c>
      <c r="F16" s="653">
        <v>0</v>
      </c>
      <c r="G16" s="653">
        <v>0</v>
      </c>
      <c r="H16" s="876">
        <f t="shared" si="1"/>
        <v>0</v>
      </c>
      <c r="I16" s="119"/>
      <c r="J16" s="133"/>
      <c r="K16" s="133"/>
      <c r="L16" s="133"/>
      <c r="M16" s="133"/>
    </row>
    <row r="17" spans="1:13">
      <c r="A17" s="350">
        <f t="shared" si="0"/>
        <v>11</v>
      </c>
      <c r="B17" s="349"/>
      <c r="C17" s="542" t="s">
        <v>141</v>
      </c>
      <c r="D17" s="116" t="s">
        <v>133</v>
      </c>
      <c r="E17" s="632">
        <f>+$E$16</f>
        <v>2019</v>
      </c>
      <c r="F17" s="653">
        <v>0</v>
      </c>
      <c r="G17" s="653">
        <v>0</v>
      </c>
      <c r="H17" s="876">
        <f t="shared" si="1"/>
        <v>0</v>
      </c>
      <c r="I17" s="119"/>
      <c r="J17" s="133"/>
      <c r="K17" s="133"/>
      <c r="L17" s="133"/>
      <c r="M17" s="133"/>
    </row>
    <row r="18" spans="1:13">
      <c r="A18" s="350">
        <f t="shared" si="0"/>
        <v>12</v>
      </c>
      <c r="C18" s="542" t="s">
        <v>140</v>
      </c>
      <c r="D18" s="866" t="s">
        <v>509</v>
      </c>
      <c r="E18" s="632">
        <f t="shared" ref="E18:E20" si="3">+$E$16</f>
        <v>2019</v>
      </c>
      <c r="F18" s="653">
        <v>0</v>
      </c>
      <c r="G18" s="653">
        <v>0</v>
      </c>
      <c r="H18" s="876">
        <f t="shared" si="1"/>
        <v>0</v>
      </c>
      <c r="I18" s="119"/>
      <c r="J18" s="133"/>
      <c r="K18" s="133"/>
      <c r="L18" s="133"/>
      <c r="M18" s="133"/>
    </row>
    <row r="19" spans="1:13">
      <c r="A19" s="350">
        <f t="shared" si="0"/>
        <v>13</v>
      </c>
      <c r="C19" s="542" t="s">
        <v>124</v>
      </c>
      <c r="D19" s="116" t="s">
        <v>133</v>
      </c>
      <c r="E19" s="632">
        <f t="shared" si="3"/>
        <v>2019</v>
      </c>
      <c r="F19" s="653">
        <v>0</v>
      </c>
      <c r="G19" s="653">
        <v>0</v>
      </c>
      <c r="H19" s="876">
        <f t="shared" si="1"/>
        <v>0</v>
      </c>
      <c r="I19" s="119"/>
      <c r="J19" s="133"/>
      <c r="K19" s="133"/>
      <c r="L19" s="133"/>
      <c r="M19" s="133"/>
    </row>
    <row r="20" spans="1:13">
      <c r="A20" s="350">
        <f t="shared" si="0"/>
        <v>14</v>
      </c>
      <c r="C20" s="542" t="s">
        <v>123</v>
      </c>
      <c r="D20" s="116" t="s">
        <v>133</v>
      </c>
      <c r="E20" s="632">
        <f t="shared" si="3"/>
        <v>2019</v>
      </c>
      <c r="F20" s="654">
        <v>0</v>
      </c>
      <c r="G20" s="654">
        <v>0</v>
      </c>
      <c r="H20" s="877">
        <f t="shared" si="1"/>
        <v>0</v>
      </c>
    </row>
    <row r="21" spans="1:13">
      <c r="A21" s="350">
        <f t="shared" si="0"/>
        <v>15</v>
      </c>
      <c r="C21" s="543" t="s">
        <v>173</v>
      </c>
      <c r="D21" s="116" t="str">
        <f>"Average of Lines "&amp;A8&amp;"-"&amp;A20&amp;""</f>
        <v>Average of Lines 2-14</v>
      </c>
      <c r="E21" s="868"/>
      <c r="F21" s="643">
        <f>+AVERAGE(F8:F20)</f>
        <v>0</v>
      </c>
      <c r="G21" s="643">
        <f>+AVERAGE(G8:G20)</f>
        <v>0</v>
      </c>
      <c r="H21" s="544">
        <f>+AVERAGE(H8:H20)</f>
        <v>0</v>
      </c>
      <c r="J21" s="133"/>
      <c r="K21" s="133"/>
      <c r="L21" s="133"/>
      <c r="M21" s="133"/>
    </row>
    <row r="22" spans="1:13">
      <c r="A22" s="350"/>
      <c r="B22" s="349"/>
      <c r="C22" s="542"/>
      <c r="E22" s="545"/>
      <c r="F22" s="542"/>
      <c r="G22" s="542"/>
      <c r="H22" s="873"/>
      <c r="I22" s="119"/>
      <c r="J22" s="133"/>
      <c r="K22" s="133"/>
      <c r="L22" s="133"/>
      <c r="M22" s="133"/>
    </row>
    <row r="23" spans="1:13">
      <c r="A23" s="350">
        <f>+A21+1</f>
        <v>16</v>
      </c>
      <c r="C23" s="865" t="s">
        <v>158</v>
      </c>
      <c r="D23" s="116" t="s">
        <v>415</v>
      </c>
      <c r="E23" s="349"/>
      <c r="G23" s="116"/>
      <c r="H23" s="872"/>
      <c r="J23" s="133"/>
      <c r="K23" s="133"/>
      <c r="L23" s="133"/>
      <c r="M23" s="133"/>
    </row>
    <row r="24" spans="1:13">
      <c r="A24" s="350">
        <f t="shared" ref="A24:A37" si="4">+A23+1</f>
        <v>17</v>
      </c>
      <c r="C24" s="542" t="s">
        <v>123</v>
      </c>
      <c r="D24" s="116" t="s">
        <v>133</v>
      </c>
      <c r="E24" s="887">
        <f>+E8</f>
        <v>2018</v>
      </c>
      <c r="F24" s="653">
        <v>0</v>
      </c>
      <c r="G24" s="653">
        <v>0</v>
      </c>
      <c r="H24" s="876">
        <f>+F24-G24</f>
        <v>0</v>
      </c>
      <c r="I24" s="134"/>
      <c r="J24" s="133"/>
      <c r="K24" s="133"/>
      <c r="L24" s="133"/>
      <c r="M24" s="133"/>
    </row>
    <row r="25" spans="1:13">
      <c r="A25" s="350">
        <f t="shared" si="4"/>
        <v>18</v>
      </c>
      <c r="C25" s="542" t="s">
        <v>139</v>
      </c>
      <c r="D25" s="866" t="s">
        <v>510</v>
      </c>
      <c r="E25" s="632">
        <f>+$E$24</f>
        <v>2018</v>
      </c>
      <c r="F25" s="653">
        <v>0</v>
      </c>
      <c r="G25" s="653">
        <v>0</v>
      </c>
      <c r="H25" s="876">
        <f t="shared" ref="H25:H36" si="5">+F25-G25</f>
        <v>0</v>
      </c>
      <c r="J25" s="133"/>
      <c r="K25" s="133"/>
      <c r="L25" s="133"/>
      <c r="M25" s="133"/>
    </row>
    <row r="26" spans="1:13">
      <c r="A26" s="350">
        <f t="shared" si="4"/>
        <v>19</v>
      </c>
      <c r="B26" s="349"/>
      <c r="C26" s="542" t="s">
        <v>138</v>
      </c>
      <c r="D26" s="116" t="s">
        <v>133</v>
      </c>
      <c r="E26" s="632">
        <f t="shared" ref="E26:E31" si="6">+$E$24</f>
        <v>2018</v>
      </c>
      <c r="F26" s="653">
        <v>0</v>
      </c>
      <c r="G26" s="653">
        <v>0</v>
      </c>
      <c r="H26" s="876">
        <f t="shared" si="5"/>
        <v>0</v>
      </c>
      <c r="I26" s="119"/>
      <c r="J26" s="133"/>
      <c r="K26" s="133"/>
      <c r="L26" s="133"/>
      <c r="M26" s="133"/>
    </row>
    <row r="27" spans="1:13">
      <c r="A27" s="350">
        <f t="shared" si="4"/>
        <v>20</v>
      </c>
      <c r="B27" s="349"/>
      <c r="C27" s="542" t="s">
        <v>137</v>
      </c>
      <c r="D27" s="116" t="s">
        <v>133</v>
      </c>
      <c r="E27" s="632">
        <f t="shared" si="6"/>
        <v>2018</v>
      </c>
      <c r="F27" s="653">
        <v>0</v>
      </c>
      <c r="G27" s="653">
        <v>0</v>
      </c>
      <c r="H27" s="876">
        <f t="shared" si="5"/>
        <v>0</v>
      </c>
      <c r="I27" s="119"/>
      <c r="J27" s="133"/>
      <c r="K27" s="133"/>
      <c r="L27" s="133"/>
      <c r="M27" s="133"/>
    </row>
    <row r="28" spans="1:13">
      <c r="A28" s="350">
        <f t="shared" si="4"/>
        <v>21</v>
      </c>
      <c r="C28" s="542" t="s">
        <v>136</v>
      </c>
      <c r="D28" s="866" t="s">
        <v>510</v>
      </c>
      <c r="E28" s="632">
        <f t="shared" si="6"/>
        <v>2018</v>
      </c>
      <c r="F28" s="653">
        <v>0</v>
      </c>
      <c r="G28" s="653">
        <v>0</v>
      </c>
      <c r="H28" s="876">
        <f t="shared" si="5"/>
        <v>0</v>
      </c>
      <c r="I28" s="119"/>
      <c r="J28" s="133"/>
      <c r="K28" s="133"/>
      <c r="L28" s="133"/>
      <c r="M28" s="133"/>
    </row>
    <row r="29" spans="1:13">
      <c r="A29" s="350">
        <f t="shared" si="4"/>
        <v>22</v>
      </c>
      <c r="C29" s="542" t="s">
        <v>135</v>
      </c>
      <c r="D29" s="116" t="s">
        <v>133</v>
      </c>
      <c r="E29" s="632">
        <f t="shared" si="6"/>
        <v>2018</v>
      </c>
      <c r="F29" s="653">
        <v>0</v>
      </c>
      <c r="G29" s="653">
        <v>0</v>
      </c>
      <c r="H29" s="876">
        <f t="shared" si="5"/>
        <v>0</v>
      </c>
    </row>
    <row r="30" spans="1:13">
      <c r="A30" s="350">
        <f t="shared" si="4"/>
        <v>23</v>
      </c>
      <c r="C30" s="542" t="s">
        <v>134</v>
      </c>
      <c r="D30" s="116" t="s">
        <v>133</v>
      </c>
      <c r="E30" s="632">
        <f t="shared" si="6"/>
        <v>2018</v>
      </c>
      <c r="F30" s="653">
        <v>0</v>
      </c>
      <c r="G30" s="653">
        <v>0</v>
      </c>
      <c r="H30" s="876">
        <f t="shared" si="5"/>
        <v>0</v>
      </c>
      <c r="I30" s="134"/>
      <c r="J30" s="133"/>
      <c r="K30" s="133"/>
      <c r="L30" s="133"/>
      <c r="M30" s="133"/>
    </row>
    <row r="31" spans="1:13">
      <c r="A31" s="350">
        <f t="shared" si="4"/>
        <v>24</v>
      </c>
      <c r="C31" s="542" t="s">
        <v>132</v>
      </c>
      <c r="D31" s="866" t="s">
        <v>510</v>
      </c>
      <c r="E31" s="632">
        <f t="shared" si="6"/>
        <v>2018</v>
      </c>
      <c r="F31" s="653">
        <v>0</v>
      </c>
      <c r="G31" s="653">
        <v>0</v>
      </c>
      <c r="H31" s="876">
        <f t="shared" si="5"/>
        <v>0</v>
      </c>
      <c r="J31" s="133"/>
      <c r="K31" s="133"/>
      <c r="L31" s="133"/>
      <c r="M31" s="133"/>
    </row>
    <row r="32" spans="1:13">
      <c r="A32" s="350">
        <f t="shared" si="4"/>
        <v>25</v>
      </c>
      <c r="B32" s="349"/>
      <c r="C32" s="542" t="s">
        <v>142</v>
      </c>
      <c r="D32" s="116" t="s">
        <v>133</v>
      </c>
      <c r="E32" s="632">
        <f>+E31+1</f>
        <v>2019</v>
      </c>
      <c r="F32" s="653">
        <v>0</v>
      </c>
      <c r="G32" s="653">
        <v>0</v>
      </c>
      <c r="H32" s="876">
        <f t="shared" si="5"/>
        <v>0</v>
      </c>
      <c r="I32" s="119"/>
      <c r="J32" s="133"/>
      <c r="K32" s="133"/>
      <c r="L32" s="133"/>
      <c r="M32" s="133"/>
    </row>
    <row r="33" spans="1:13">
      <c r="A33" s="350">
        <f t="shared" si="4"/>
        <v>26</v>
      </c>
      <c r="B33" s="349"/>
      <c r="C33" s="542" t="s">
        <v>141</v>
      </c>
      <c r="D33" s="116" t="s">
        <v>133</v>
      </c>
      <c r="E33" s="632">
        <f>+$E$32</f>
        <v>2019</v>
      </c>
      <c r="F33" s="653">
        <v>0</v>
      </c>
      <c r="G33" s="653">
        <v>0</v>
      </c>
      <c r="H33" s="876">
        <f t="shared" si="5"/>
        <v>0</v>
      </c>
      <c r="I33" s="119"/>
      <c r="J33" s="133"/>
      <c r="K33" s="133"/>
      <c r="L33" s="133"/>
      <c r="M33" s="133"/>
    </row>
    <row r="34" spans="1:13">
      <c r="A34" s="350">
        <f t="shared" si="4"/>
        <v>27</v>
      </c>
      <c r="C34" s="542" t="s">
        <v>140</v>
      </c>
      <c r="D34" s="866" t="s">
        <v>510</v>
      </c>
      <c r="E34" s="632">
        <f t="shared" ref="E34:E36" si="7">+$E$32</f>
        <v>2019</v>
      </c>
      <c r="F34" s="653">
        <v>0</v>
      </c>
      <c r="G34" s="653">
        <v>0</v>
      </c>
      <c r="H34" s="876">
        <f t="shared" si="5"/>
        <v>0</v>
      </c>
      <c r="I34" s="119"/>
      <c r="J34" s="133"/>
      <c r="K34" s="133"/>
      <c r="L34" s="133"/>
      <c r="M34" s="133"/>
    </row>
    <row r="35" spans="1:13">
      <c r="A35" s="350">
        <f t="shared" si="4"/>
        <v>28</v>
      </c>
      <c r="C35" s="542" t="s">
        <v>124</v>
      </c>
      <c r="D35" s="116" t="s">
        <v>133</v>
      </c>
      <c r="E35" s="632">
        <f t="shared" si="7"/>
        <v>2019</v>
      </c>
      <c r="F35" s="653">
        <v>0</v>
      </c>
      <c r="G35" s="653">
        <v>0</v>
      </c>
      <c r="H35" s="876">
        <f t="shared" si="5"/>
        <v>0</v>
      </c>
      <c r="I35" s="119"/>
      <c r="J35" s="133"/>
      <c r="K35" s="133"/>
      <c r="L35" s="133"/>
      <c r="M35" s="133"/>
    </row>
    <row r="36" spans="1:13">
      <c r="A36" s="350">
        <f t="shared" si="4"/>
        <v>29</v>
      </c>
      <c r="C36" s="542" t="s">
        <v>123</v>
      </c>
      <c r="D36" s="116" t="s">
        <v>133</v>
      </c>
      <c r="E36" s="632">
        <f t="shared" si="7"/>
        <v>2019</v>
      </c>
      <c r="F36" s="654">
        <v>0</v>
      </c>
      <c r="G36" s="654">
        <v>0</v>
      </c>
      <c r="H36" s="877">
        <f t="shared" si="5"/>
        <v>0</v>
      </c>
    </row>
    <row r="37" spans="1:13">
      <c r="A37" s="350">
        <f t="shared" si="4"/>
        <v>30</v>
      </c>
      <c r="C37" s="543" t="s">
        <v>157</v>
      </c>
      <c r="D37" s="116" t="str">
        <f>"Average of Lines "&amp;A24&amp;"-"&amp;A36&amp;""</f>
        <v>Average of Lines 17-29</v>
      </c>
      <c r="E37" s="546"/>
      <c r="F37" s="643">
        <f>+AVERAGE(F24:F36)</f>
        <v>0</v>
      </c>
      <c r="G37" s="643">
        <f>+AVERAGE(G24:G36)</f>
        <v>0</v>
      </c>
      <c r="H37" s="544">
        <f>+AVERAGE(H24:H36)</f>
        <v>0</v>
      </c>
      <c r="J37" s="133"/>
      <c r="K37" s="133"/>
      <c r="L37" s="133"/>
      <c r="M37" s="133"/>
    </row>
    <row r="38" spans="1:13">
      <c r="A38" s="350"/>
      <c r="B38" s="349"/>
      <c r="C38" s="542"/>
      <c r="E38" s="546"/>
      <c r="F38" s="542"/>
      <c r="G38" s="542"/>
      <c r="H38" s="873"/>
      <c r="I38" s="119"/>
      <c r="J38" s="133"/>
      <c r="K38" s="133"/>
      <c r="L38" s="133"/>
      <c r="M38" s="133"/>
    </row>
    <row r="39" spans="1:13">
      <c r="A39" s="350">
        <f>+A37+1</f>
        <v>31</v>
      </c>
      <c r="C39" s="865" t="s">
        <v>156</v>
      </c>
      <c r="D39" s="116" t="s">
        <v>415</v>
      </c>
      <c r="E39" s="470"/>
      <c r="G39" s="116"/>
      <c r="H39" s="872"/>
      <c r="J39" s="133"/>
      <c r="K39" s="133"/>
      <c r="L39" s="133"/>
      <c r="M39" s="133"/>
    </row>
    <row r="40" spans="1:13">
      <c r="A40" s="350">
        <f>+A39+1</f>
        <v>32</v>
      </c>
      <c r="C40" s="542" t="s">
        <v>123</v>
      </c>
      <c r="D40" s="116" t="s">
        <v>133</v>
      </c>
      <c r="E40" s="887">
        <f>+E24</f>
        <v>2018</v>
      </c>
      <c r="F40" s="653">
        <v>0</v>
      </c>
      <c r="G40" s="653">
        <v>0</v>
      </c>
      <c r="H40" s="876">
        <f>+F40-G40</f>
        <v>0</v>
      </c>
      <c r="J40" s="133"/>
      <c r="K40" s="133"/>
      <c r="L40" s="133"/>
      <c r="M40" s="133"/>
    </row>
    <row r="41" spans="1:13">
      <c r="A41" s="350">
        <f t="shared" ref="A41:A52" si="8">+A40+1</f>
        <v>33</v>
      </c>
      <c r="C41" s="542" t="s">
        <v>139</v>
      </c>
      <c r="D41" s="866" t="s">
        <v>511</v>
      </c>
      <c r="E41" s="632">
        <f>+$E$40</f>
        <v>2018</v>
      </c>
      <c r="F41" s="653">
        <v>0</v>
      </c>
      <c r="G41" s="653">
        <v>0</v>
      </c>
      <c r="H41" s="876">
        <f t="shared" ref="H41:H52" si="9">+F41-G41</f>
        <v>0</v>
      </c>
      <c r="J41" s="133"/>
      <c r="K41" s="133"/>
      <c r="L41" s="133"/>
      <c r="M41" s="133"/>
    </row>
    <row r="42" spans="1:13">
      <c r="A42" s="350">
        <f t="shared" si="8"/>
        <v>34</v>
      </c>
      <c r="C42" s="542" t="s">
        <v>138</v>
      </c>
      <c r="D42" s="116" t="s">
        <v>133</v>
      </c>
      <c r="E42" s="632">
        <f t="shared" ref="E42:E47" si="10">+$E$40</f>
        <v>2018</v>
      </c>
      <c r="F42" s="653">
        <v>0</v>
      </c>
      <c r="G42" s="653">
        <v>0</v>
      </c>
      <c r="H42" s="876">
        <f t="shared" si="9"/>
        <v>0</v>
      </c>
      <c r="J42" s="133"/>
      <c r="K42" s="133"/>
      <c r="L42" s="133"/>
      <c r="M42" s="133"/>
    </row>
    <row r="43" spans="1:13">
      <c r="A43" s="350">
        <f t="shared" si="8"/>
        <v>35</v>
      </c>
      <c r="C43" s="542" t="s">
        <v>137</v>
      </c>
      <c r="D43" s="116" t="s">
        <v>133</v>
      </c>
      <c r="E43" s="632">
        <f t="shared" si="10"/>
        <v>2018</v>
      </c>
      <c r="F43" s="653">
        <v>0</v>
      </c>
      <c r="G43" s="653">
        <v>0</v>
      </c>
      <c r="H43" s="876">
        <f t="shared" si="9"/>
        <v>0</v>
      </c>
      <c r="J43" s="133"/>
      <c r="K43" s="133"/>
      <c r="L43" s="133"/>
      <c r="M43" s="133"/>
    </row>
    <row r="44" spans="1:13">
      <c r="A44" s="350">
        <f t="shared" si="8"/>
        <v>36</v>
      </c>
      <c r="C44" s="542" t="s">
        <v>136</v>
      </c>
      <c r="D44" s="866" t="s">
        <v>511</v>
      </c>
      <c r="E44" s="632">
        <f t="shared" si="10"/>
        <v>2018</v>
      </c>
      <c r="F44" s="653">
        <v>0</v>
      </c>
      <c r="G44" s="653">
        <v>0</v>
      </c>
      <c r="H44" s="876">
        <f t="shared" si="9"/>
        <v>0</v>
      </c>
      <c r="J44" s="133"/>
      <c r="K44" s="133"/>
      <c r="L44" s="133"/>
      <c r="M44" s="133"/>
    </row>
    <row r="45" spans="1:13">
      <c r="A45" s="350">
        <f t="shared" si="8"/>
        <v>37</v>
      </c>
      <c r="C45" s="542" t="s">
        <v>135</v>
      </c>
      <c r="D45" s="116" t="s">
        <v>133</v>
      </c>
      <c r="E45" s="632">
        <f t="shared" si="10"/>
        <v>2018</v>
      </c>
      <c r="F45" s="653">
        <v>0</v>
      </c>
      <c r="G45" s="653">
        <v>0</v>
      </c>
      <c r="H45" s="876">
        <f t="shared" si="9"/>
        <v>0</v>
      </c>
      <c r="J45" s="133"/>
      <c r="K45" s="133"/>
      <c r="L45" s="133"/>
      <c r="M45" s="133"/>
    </row>
    <row r="46" spans="1:13">
      <c r="A46" s="350">
        <f t="shared" si="8"/>
        <v>38</v>
      </c>
      <c r="C46" s="542" t="s">
        <v>134</v>
      </c>
      <c r="D46" s="116" t="s">
        <v>133</v>
      </c>
      <c r="E46" s="632">
        <f t="shared" si="10"/>
        <v>2018</v>
      </c>
      <c r="F46" s="653">
        <v>0</v>
      </c>
      <c r="G46" s="653">
        <v>0</v>
      </c>
      <c r="H46" s="876">
        <f t="shared" si="9"/>
        <v>0</v>
      </c>
      <c r="J46" s="133"/>
      <c r="K46" s="133"/>
      <c r="L46" s="133"/>
      <c r="M46" s="133"/>
    </row>
    <row r="47" spans="1:13">
      <c r="A47" s="350">
        <f t="shared" si="8"/>
        <v>39</v>
      </c>
      <c r="C47" s="542" t="s">
        <v>132</v>
      </c>
      <c r="D47" s="866" t="s">
        <v>511</v>
      </c>
      <c r="E47" s="632">
        <f t="shared" si="10"/>
        <v>2018</v>
      </c>
      <c r="F47" s="653">
        <v>0</v>
      </c>
      <c r="G47" s="653">
        <v>0</v>
      </c>
      <c r="H47" s="876">
        <f t="shared" si="9"/>
        <v>0</v>
      </c>
      <c r="J47" s="133"/>
      <c r="K47" s="133"/>
      <c r="L47" s="133"/>
      <c r="M47" s="133"/>
    </row>
    <row r="48" spans="1:13">
      <c r="A48" s="350">
        <f t="shared" si="8"/>
        <v>40</v>
      </c>
      <c r="C48" s="542" t="s">
        <v>142</v>
      </c>
      <c r="D48" s="116" t="s">
        <v>133</v>
      </c>
      <c r="E48" s="632">
        <f>+E47+1</f>
        <v>2019</v>
      </c>
      <c r="F48" s="653">
        <v>0</v>
      </c>
      <c r="G48" s="653">
        <v>0</v>
      </c>
      <c r="H48" s="876">
        <f t="shared" si="9"/>
        <v>0</v>
      </c>
      <c r="J48" s="133"/>
      <c r="K48" s="133"/>
      <c r="L48" s="133"/>
      <c r="M48" s="133"/>
    </row>
    <row r="49" spans="1:13">
      <c r="A49" s="350">
        <f t="shared" si="8"/>
        <v>41</v>
      </c>
      <c r="C49" s="542" t="s">
        <v>141</v>
      </c>
      <c r="D49" s="116" t="s">
        <v>133</v>
      </c>
      <c r="E49" s="632">
        <f>+$E$48</f>
        <v>2019</v>
      </c>
      <c r="F49" s="653">
        <v>0</v>
      </c>
      <c r="G49" s="653">
        <v>0</v>
      </c>
      <c r="H49" s="876">
        <f t="shared" si="9"/>
        <v>0</v>
      </c>
      <c r="J49" s="133"/>
      <c r="K49" s="133"/>
      <c r="L49" s="133"/>
      <c r="M49" s="133"/>
    </row>
    <row r="50" spans="1:13">
      <c r="A50" s="350">
        <f t="shared" si="8"/>
        <v>42</v>
      </c>
      <c r="C50" s="542" t="s">
        <v>140</v>
      </c>
      <c r="D50" s="866" t="s">
        <v>511</v>
      </c>
      <c r="E50" s="632">
        <f t="shared" ref="E50:E52" si="11">+$E$48</f>
        <v>2019</v>
      </c>
      <c r="F50" s="653">
        <v>0</v>
      </c>
      <c r="G50" s="653">
        <v>0</v>
      </c>
      <c r="H50" s="876">
        <f t="shared" si="9"/>
        <v>0</v>
      </c>
      <c r="J50" s="133"/>
      <c r="K50" s="133"/>
      <c r="L50" s="133"/>
      <c r="M50" s="133"/>
    </row>
    <row r="51" spans="1:13">
      <c r="A51" s="350">
        <f t="shared" si="8"/>
        <v>43</v>
      </c>
      <c r="C51" s="542" t="s">
        <v>124</v>
      </c>
      <c r="D51" s="116" t="s">
        <v>133</v>
      </c>
      <c r="E51" s="632">
        <f t="shared" si="11"/>
        <v>2019</v>
      </c>
      <c r="F51" s="653">
        <v>0</v>
      </c>
      <c r="G51" s="653">
        <v>0</v>
      </c>
      <c r="H51" s="876">
        <f t="shared" si="9"/>
        <v>0</v>
      </c>
      <c r="J51" s="133"/>
      <c r="K51" s="133"/>
      <c r="L51" s="133"/>
      <c r="M51" s="133"/>
    </row>
    <row r="52" spans="1:13">
      <c r="A52" s="350">
        <f t="shared" si="8"/>
        <v>44</v>
      </c>
      <c r="C52" s="542" t="s">
        <v>123</v>
      </c>
      <c r="D52" s="116" t="s">
        <v>133</v>
      </c>
      <c r="E52" s="632">
        <f t="shared" si="11"/>
        <v>2019</v>
      </c>
      <c r="F52" s="654">
        <v>0</v>
      </c>
      <c r="G52" s="654">
        <v>0</v>
      </c>
      <c r="H52" s="877">
        <f t="shared" si="9"/>
        <v>0</v>
      </c>
    </row>
    <row r="53" spans="1:13">
      <c r="A53" s="350">
        <f>+A52+1</f>
        <v>45</v>
      </c>
      <c r="C53" s="543" t="s">
        <v>155</v>
      </c>
      <c r="D53" s="116" t="str">
        <f>"Average of Lines "&amp;A40&amp;"-"&amp;A52&amp;""</f>
        <v>Average of Lines 32-44</v>
      </c>
      <c r="E53" s="546"/>
      <c r="F53" s="643">
        <f>+AVERAGE(F40:F52)</f>
        <v>0</v>
      </c>
      <c r="G53" s="643">
        <f>+AVERAGE(G40:G52)</f>
        <v>0</v>
      </c>
      <c r="H53" s="544">
        <f>+AVERAGE(H40:H52)</f>
        <v>0</v>
      </c>
      <c r="I53" s="179"/>
      <c r="J53" s="133"/>
      <c r="K53" s="133"/>
      <c r="L53" s="133"/>
      <c r="M53" s="133"/>
    </row>
    <row r="54" spans="1:13">
      <c r="A54" s="350"/>
      <c r="C54" s="542"/>
      <c r="E54" s="547"/>
      <c r="F54" s="542"/>
      <c r="G54" s="542"/>
      <c r="H54" s="873"/>
      <c r="I54" s="119"/>
      <c r="J54" s="133"/>
      <c r="K54" s="133"/>
      <c r="L54" s="133"/>
      <c r="M54" s="133"/>
    </row>
    <row r="55" spans="1:13">
      <c r="A55" s="350">
        <f>+A53+1</f>
        <v>46</v>
      </c>
      <c r="C55" s="865" t="s">
        <v>154</v>
      </c>
      <c r="D55" s="116" t="s">
        <v>415</v>
      </c>
      <c r="E55" s="470"/>
      <c r="G55" s="116"/>
      <c r="H55" s="872"/>
      <c r="J55" s="133"/>
      <c r="K55" s="133"/>
      <c r="L55" s="133"/>
      <c r="M55" s="133"/>
    </row>
    <row r="56" spans="1:13">
      <c r="A56" s="350">
        <f>+A55+1</f>
        <v>47</v>
      </c>
      <c r="C56" s="542" t="s">
        <v>123</v>
      </c>
      <c r="D56" s="116" t="s">
        <v>133</v>
      </c>
      <c r="E56" s="887">
        <f>+E40</f>
        <v>2018</v>
      </c>
      <c r="F56" s="653">
        <v>0</v>
      </c>
      <c r="G56" s="653">
        <v>0</v>
      </c>
      <c r="H56" s="876">
        <f>+F56-G56</f>
        <v>0</v>
      </c>
      <c r="I56" s="134"/>
      <c r="J56" s="133"/>
      <c r="K56" s="133"/>
      <c r="L56" s="133"/>
      <c r="M56" s="133"/>
    </row>
    <row r="57" spans="1:13">
      <c r="A57" s="350">
        <f t="shared" ref="A57:A67" si="12">+A56+1</f>
        <v>48</v>
      </c>
      <c r="C57" s="542" t="s">
        <v>139</v>
      </c>
      <c r="D57" s="866" t="s">
        <v>512</v>
      </c>
      <c r="E57" s="632">
        <f>+$E$56</f>
        <v>2018</v>
      </c>
      <c r="F57" s="653">
        <v>0</v>
      </c>
      <c r="G57" s="653">
        <v>0</v>
      </c>
      <c r="H57" s="876">
        <f t="shared" ref="H57:H68" si="13">+F57-G57</f>
        <v>0</v>
      </c>
      <c r="I57" s="134"/>
      <c r="J57" s="133"/>
      <c r="K57" s="133"/>
      <c r="L57" s="133"/>
      <c r="M57" s="133"/>
    </row>
    <row r="58" spans="1:13">
      <c r="A58" s="350">
        <f t="shared" si="12"/>
        <v>49</v>
      </c>
      <c r="C58" s="542" t="s">
        <v>138</v>
      </c>
      <c r="D58" s="116" t="s">
        <v>133</v>
      </c>
      <c r="E58" s="632">
        <f t="shared" ref="E58:E63" si="14">+$E$56</f>
        <v>2018</v>
      </c>
      <c r="F58" s="653">
        <v>0</v>
      </c>
      <c r="G58" s="653">
        <v>0</v>
      </c>
      <c r="H58" s="876">
        <f t="shared" si="13"/>
        <v>0</v>
      </c>
      <c r="I58" s="134"/>
      <c r="J58" s="133"/>
      <c r="K58" s="133"/>
      <c r="L58" s="133"/>
      <c r="M58" s="133"/>
    </row>
    <row r="59" spans="1:13">
      <c r="A59" s="350">
        <f t="shared" si="12"/>
        <v>50</v>
      </c>
      <c r="C59" s="542" t="s">
        <v>137</v>
      </c>
      <c r="D59" s="116" t="s">
        <v>133</v>
      </c>
      <c r="E59" s="632">
        <f t="shared" si="14"/>
        <v>2018</v>
      </c>
      <c r="F59" s="653">
        <v>0</v>
      </c>
      <c r="G59" s="653">
        <v>0</v>
      </c>
      <c r="H59" s="876">
        <f t="shared" si="13"/>
        <v>0</v>
      </c>
      <c r="I59" s="134"/>
      <c r="J59" s="133"/>
      <c r="K59" s="133"/>
      <c r="L59" s="133"/>
      <c r="M59" s="133"/>
    </row>
    <row r="60" spans="1:13">
      <c r="A60" s="350">
        <f t="shared" si="12"/>
        <v>51</v>
      </c>
      <c r="C60" s="542" t="s">
        <v>136</v>
      </c>
      <c r="D60" s="866" t="s">
        <v>512</v>
      </c>
      <c r="E60" s="632">
        <f t="shared" si="14"/>
        <v>2018</v>
      </c>
      <c r="F60" s="653">
        <v>0</v>
      </c>
      <c r="G60" s="653">
        <v>0</v>
      </c>
      <c r="H60" s="876">
        <f t="shared" si="13"/>
        <v>0</v>
      </c>
      <c r="I60" s="134"/>
      <c r="J60" s="133"/>
      <c r="K60" s="133"/>
      <c r="L60" s="133"/>
      <c r="M60" s="133"/>
    </row>
    <row r="61" spans="1:13">
      <c r="A61" s="350">
        <f t="shared" si="12"/>
        <v>52</v>
      </c>
      <c r="C61" s="542" t="s">
        <v>135</v>
      </c>
      <c r="D61" s="116" t="s">
        <v>133</v>
      </c>
      <c r="E61" s="632">
        <f t="shared" si="14"/>
        <v>2018</v>
      </c>
      <c r="F61" s="653">
        <v>0</v>
      </c>
      <c r="G61" s="653">
        <v>0</v>
      </c>
      <c r="H61" s="876">
        <f t="shared" si="13"/>
        <v>0</v>
      </c>
      <c r="I61" s="134"/>
      <c r="J61" s="133"/>
      <c r="K61" s="133"/>
      <c r="L61" s="133"/>
      <c r="M61" s="133"/>
    </row>
    <row r="62" spans="1:13">
      <c r="A62" s="350">
        <f t="shared" si="12"/>
        <v>53</v>
      </c>
      <c r="C62" s="542" t="s">
        <v>134</v>
      </c>
      <c r="D62" s="116" t="s">
        <v>133</v>
      </c>
      <c r="E62" s="632">
        <f t="shared" si="14"/>
        <v>2018</v>
      </c>
      <c r="F62" s="653">
        <v>0</v>
      </c>
      <c r="G62" s="653">
        <v>0</v>
      </c>
      <c r="H62" s="876">
        <f t="shared" si="13"/>
        <v>0</v>
      </c>
      <c r="I62" s="134"/>
      <c r="J62" s="133"/>
      <c r="K62" s="133"/>
      <c r="L62" s="133"/>
      <c r="M62" s="133"/>
    </row>
    <row r="63" spans="1:13">
      <c r="A63" s="350">
        <f t="shared" si="12"/>
        <v>54</v>
      </c>
      <c r="C63" s="542" t="s">
        <v>132</v>
      </c>
      <c r="D63" s="866" t="s">
        <v>512</v>
      </c>
      <c r="E63" s="632">
        <f t="shared" si="14"/>
        <v>2018</v>
      </c>
      <c r="F63" s="653">
        <v>0</v>
      </c>
      <c r="G63" s="653">
        <v>0</v>
      </c>
      <c r="H63" s="876">
        <f t="shared" si="13"/>
        <v>0</v>
      </c>
      <c r="I63" s="134"/>
      <c r="J63" s="133"/>
      <c r="K63" s="133"/>
      <c r="L63" s="133"/>
      <c r="M63" s="133"/>
    </row>
    <row r="64" spans="1:13">
      <c r="A64" s="350">
        <f t="shared" si="12"/>
        <v>55</v>
      </c>
      <c r="C64" s="542" t="s">
        <v>142</v>
      </c>
      <c r="D64" s="116" t="s">
        <v>133</v>
      </c>
      <c r="E64" s="632">
        <f>+E63+1</f>
        <v>2019</v>
      </c>
      <c r="F64" s="653">
        <v>0</v>
      </c>
      <c r="G64" s="653">
        <v>0</v>
      </c>
      <c r="H64" s="876">
        <f t="shared" si="13"/>
        <v>0</v>
      </c>
      <c r="I64" s="134"/>
      <c r="J64" s="133"/>
      <c r="K64" s="133"/>
      <c r="L64" s="133"/>
      <c r="M64" s="133"/>
    </row>
    <row r="65" spans="1:13">
      <c r="A65" s="350">
        <f t="shared" si="12"/>
        <v>56</v>
      </c>
      <c r="C65" s="542" t="s">
        <v>141</v>
      </c>
      <c r="D65" s="116" t="s">
        <v>133</v>
      </c>
      <c r="E65" s="632">
        <f>+$E$64</f>
        <v>2019</v>
      </c>
      <c r="F65" s="653">
        <v>0</v>
      </c>
      <c r="G65" s="653">
        <v>0</v>
      </c>
      <c r="H65" s="876">
        <f t="shared" si="13"/>
        <v>0</v>
      </c>
      <c r="I65" s="134"/>
      <c r="J65" s="133"/>
      <c r="K65" s="133"/>
      <c r="L65" s="133"/>
      <c r="M65" s="133"/>
    </row>
    <row r="66" spans="1:13">
      <c r="A66" s="350">
        <f t="shared" si="12"/>
        <v>57</v>
      </c>
      <c r="C66" s="542" t="s">
        <v>140</v>
      </c>
      <c r="D66" s="866" t="s">
        <v>512</v>
      </c>
      <c r="E66" s="632">
        <f t="shared" ref="E66:E68" si="15">+$E$64</f>
        <v>2019</v>
      </c>
      <c r="F66" s="653">
        <v>0</v>
      </c>
      <c r="G66" s="653">
        <v>0</v>
      </c>
      <c r="H66" s="876">
        <f t="shared" si="13"/>
        <v>0</v>
      </c>
      <c r="I66" s="134"/>
      <c r="J66" s="133"/>
      <c r="K66" s="133"/>
      <c r="L66" s="133"/>
      <c r="M66" s="133"/>
    </row>
    <row r="67" spans="1:13">
      <c r="A67" s="350">
        <f t="shared" si="12"/>
        <v>58</v>
      </c>
      <c r="C67" s="542" t="s">
        <v>124</v>
      </c>
      <c r="D67" s="116" t="s">
        <v>133</v>
      </c>
      <c r="E67" s="632">
        <f t="shared" si="15"/>
        <v>2019</v>
      </c>
      <c r="F67" s="653">
        <v>0</v>
      </c>
      <c r="G67" s="653">
        <v>0</v>
      </c>
      <c r="H67" s="876">
        <f t="shared" si="13"/>
        <v>0</v>
      </c>
      <c r="I67" s="134"/>
      <c r="J67" s="133"/>
      <c r="K67" s="133"/>
      <c r="L67" s="133"/>
      <c r="M67" s="133"/>
    </row>
    <row r="68" spans="1:13">
      <c r="A68" s="350">
        <f>+A67+1</f>
        <v>59</v>
      </c>
      <c r="C68" s="542" t="s">
        <v>123</v>
      </c>
      <c r="D68" s="116" t="s">
        <v>133</v>
      </c>
      <c r="E68" s="632">
        <f t="shared" si="15"/>
        <v>2019</v>
      </c>
      <c r="F68" s="654">
        <v>0</v>
      </c>
      <c r="G68" s="654">
        <v>0</v>
      </c>
      <c r="H68" s="877">
        <f t="shared" si="13"/>
        <v>0</v>
      </c>
    </row>
    <row r="69" spans="1:13">
      <c r="A69" s="350">
        <f>+A68+1</f>
        <v>60</v>
      </c>
      <c r="C69" s="543" t="s">
        <v>153</v>
      </c>
      <c r="D69" s="116" t="str">
        <f>"Average of Lines "&amp;A56&amp;"-"&amp;A68&amp;""</f>
        <v>Average of Lines 47-59</v>
      </c>
      <c r="E69" s="546"/>
      <c r="F69" s="643">
        <f>+AVERAGE(F56:F68)</f>
        <v>0</v>
      </c>
      <c r="G69" s="643">
        <f>+AVERAGE(G56:G68)</f>
        <v>0</v>
      </c>
      <c r="H69" s="544">
        <f>+AVERAGE(H56:H68)</f>
        <v>0</v>
      </c>
      <c r="I69" s="179"/>
      <c r="J69" s="133"/>
      <c r="K69" s="133"/>
      <c r="L69" s="133"/>
      <c r="M69" s="133"/>
    </row>
    <row r="70" spans="1:13">
      <c r="A70" s="350"/>
      <c r="C70" s="542"/>
      <c r="D70" s="866"/>
      <c r="E70" s="547"/>
      <c r="F70" s="869"/>
      <c r="G70" s="869"/>
      <c r="H70" s="872"/>
    </row>
    <row r="71" spans="1:13">
      <c r="A71" s="350">
        <f>+A69+1</f>
        <v>61</v>
      </c>
      <c r="C71" s="865" t="s">
        <v>152</v>
      </c>
      <c r="D71" s="116" t="s">
        <v>415</v>
      </c>
      <c r="E71" s="470"/>
      <c r="G71" s="116"/>
      <c r="H71" s="872"/>
      <c r="J71" s="133"/>
      <c r="K71" s="133"/>
      <c r="L71" s="133"/>
      <c r="M71" s="133"/>
    </row>
    <row r="72" spans="1:13">
      <c r="A72" s="350">
        <f t="shared" ref="A72:A85" si="16">+A71+1</f>
        <v>62</v>
      </c>
      <c r="C72" s="542" t="s">
        <v>123</v>
      </c>
      <c r="D72" s="116" t="s">
        <v>133</v>
      </c>
      <c r="E72" s="887">
        <f>+E56</f>
        <v>2018</v>
      </c>
      <c r="F72" s="653">
        <v>0</v>
      </c>
      <c r="G72" s="653">
        <v>0</v>
      </c>
      <c r="H72" s="876">
        <f>+F72-G72</f>
        <v>0</v>
      </c>
      <c r="J72" s="133"/>
      <c r="K72" s="133"/>
      <c r="L72" s="133"/>
      <c r="M72" s="133"/>
    </row>
    <row r="73" spans="1:13">
      <c r="A73" s="350">
        <f t="shared" si="16"/>
        <v>63</v>
      </c>
      <c r="C73" s="542" t="s">
        <v>139</v>
      </c>
      <c r="D73" s="866" t="s">
        <v>513</v>
      </c>
      <c r="E73" s="632">
        <f>+$E$63</f>
        <v>2018</v>
      </c>
      <c r="F73" s="653">
        <v>0</v>
      </c>
      <c r="G73" s="653">
        <v>0</v>
      </c>
      <c r="H73" s="876">
        <f t="shared" ref="H73:H84" si="17">+F73-G73</f>
        <v>0</v>
      </c>
      <c r="J73" s="133"/>
      <c r="K73" s="133"/>
      <c r="L73" s="133"/>
      <c r="M73" s="133"/>
    </row>
    <row r="74" spans="1:13">
      <c r="A74" s="350">
        <f t="shared" si="16"/>
        <v>64</v>
      </c>
      <c r="C74" s="542" t="s">
        <v>138</v>
      </c>
      <c r="D74" s="116" t="s">
        <v>133</v>
      </c>
      <c r="E74" s="632">
        <f t="shared" ref="E74:E79" si="18">+$E$63</f>
        <v>2018</v>
      </c>
      <c r="F74" s="653">
        <v>0</v>
      </c>
      <c r="G74" s="653">
        <v>0</v>
      </c>
      <c r="H74" s="876">
        <f t="shared" si="17"/>
        <v>0</v>
      </c>
      <c r="J74" s="133"/>
      <c r="K74" s="133"/>
      <c r="L74" s="133"/>
      <c r="M74" s="133"/>
    </row>
    <row r="75" spans="1:13">
      <c r="A75" s="350">
        <f t="shared" si="16"/>
        <v>65</v>
      </c>
      <c r="C75" s="542" t="s">
        <v>137</v>
      </c>
      <c r="D75" s="116" t="s">
        <v>133</v>
      </c>
      <c r="E75" s="632">
        <f t="shared" si="18"/>
        <v>2018</v>
      </c>
      <c r="F75" s="653">
        <v>0</v>
      </c>
      <c r="G75" s="653">
        <v>0</v>
      </c>
      <c r="H75" s="876">
        <f t="shared" si="17"/>
        <v>0</v>
      </c>
      <c r="J75" s="133"/>
      <c r="K75" s="133"/>
      <c r="L75" s="133"/>
      <c r="M75" s="133"/>
    </row>
    <row r="76" spans="1:13">
      <c r="A76" s="350">
        <f t="shared" si="16"/>
        <v>66</v>
      </c>
      <c r="C76" s="542" t="s">
        <v>136</v>
      </c>
      <c r="D76" s="866" t="s">
        <v>513</v>
      </c>
      <c r="E76" s="632">
        <f t="shared" si="18"/>
        <v>2018</v>
      </c>
      <c r="F76" s="653">
        <v>0</v>
      </c>
      <c r="G76" s="653">
        <v>0</v>
      </c>
      <c r="H76" s="876">
        <f t="shared" si="17"/>
        <v>0</v>
      </c>
      <c r="J76" s="133"/>
      <c r="K76" s="133"/>
      <c r="L76" s="133"/>
      <c r="M76" s="133"/>
    </row>
    <row r="77" spans="1:13">
      <c r="A77" s="350">
        <f t="shared" si="16"/>
        <v>67</v>
      </c>
      <c r="C77" s="542" t="s">
        <v>135</v>
      </c>
      <c r="D77" s="116" t="s">
        <v>133</v>
      </c>
      <c r="E77" s="632">
        <f t="shared" si="18"/>
        <v>2018</v>
      </c>
      <c r="F77" s="653">
        <v>0</v>
      </c>
      <c r="G77" s="653">
        <v>0</v>
      </c>
      <c r="H77" s="876">
        <f t="shared" si="17"/>
        <v>0</v>
      </c>
      <c r="J77" s="133"/>
      <c r="K77" s="133"/>
      <c r="L77" s="133"/>
      <c r="M77" s="133"/>
    </row>
    <row r="78" spans="1:13">
      <c r="A78" s="350">
        <f t="shared" si="16"/>
        <v>68</v>
      </c>
      <c r="C78" s="542" t="s">
        <v>134</v>
      </c>
      <c r="D78" s="116" t="s">
        <v>133</v>
      </c>
      <c r="E78" s="632">
        <f t="shared" si="18"/>
        <v>2018</v>
      </c>
      <c r="F78" s="653">
        <v>0</v>
      </c>
      <c r="G78" s="653">
        <v>0</v>
      </c>
      <c r="H78" s="876">
        <f t="shared" si="17"/>
        <v>0</v>
      </c>
      <c r="J78" s="133"/>
      <c r="K78" s="133"/>
      <c r="L78" s="133"/>
      <c r="M78" s="133"/>
    </row>
    <row r="79" spans="1:13">
      <c r="A79" s="350">
        <f t="shared" si="16"/>
        <v>69</v>
      </c>
      <c r="C79" s="542" t="s">
        <v>132</v>
      </c>
      <c r="D79" s="866" t="s">
        <v>513</v>
      </c>
      <c r="E79" s="632">
        <f t="shared" si="18"/>
        <v>2018</v>
      </c>
      <c r="F79" s="653">
        <v>0</v>
      </c>
      <c r="G79" s="653">
        <v>0</v>
      </c>
      <c r="H79" s="876">
        <f t="shared" si="17"/>
        <v>0</v>
      </c>
      <c r="J79" s="133"/>
      <c r="K79" s="133"/>
      <c r="L79" s="133"/>
      <c r="M79" s="133"/>
    </row>
    <row r="80" spans="1:13">
      <c r="A80" s="350">
        <f t="shared" si="16"/>
        <v>70</v>
      </c>
      <c r="C80" s="542" t="s">
        <v>142</v>
      </c>
      <c r="D80" s="116" t="s">
        <v>133</v>
      </c>
      <c r="E80" s="632">
        <f>+E79+1</f>
        <v>2019</v>
      </c>
      <c r="F80" s="653">
        <v>0</v>
      </c>
      <c r="G80" s="653">
        <v>0</v>
      </c>
      <c r="H80" s="876">
        <f t="shared" si="17"/>
        <v>0</v>
      </c>
      <c r="J80" s="133"/>
      <c r="K80" s="133"/>
      <c r="L80" s="133"/>
      <c r="M80" s="133"/>
    </row>
    <row r="81" spans="1:13">
      <c r="A81" s="350">
        <f t="shared" si="16"/>
        <v>71</v>
      </c>
      <c r="C81" s="542" t="s">
        <v>141</v>
      </c>
      <c r="D81" s="116" t="s">
        <v>133</v>
      </c>
      <c r="E81" s="632">
        <f>+$E$80</f>
        <v>2019</v>
      </c>
      <c r="F81" s="653">
        <v>0</v>
      </c>
      <c r="G81" s="653">
        <v>0</v>
      </c>
      <c r="H81" s="876">
        <f t="shared" si="17"/>
        <v>0</v>
      </c>
      <c r="J81" s="133"/>
      <c r="K81" s="133"/>
      <c r="L81" s="133"/>
      <c r="M81" s="133"/>
    </row>
    <row r="82" spans="1:13">
      <c r="A82" s="350">
        <f t="shared" si="16"/>
        <v>72</v>
      </c>
      <c r="C82" s="542" t="s">
        <v>140</v>
      </c>
      <c r="D82" s="866" t="s">
        <v>513</v>
      </c>
      <c r="E82" s="632">
        <f t="shared" ref="E82:E84" si="19">+$E$80</f>
        <v>2019</v>
      </c>
      <c r="F82" s="653">
        <v>0</v>
      </c>
      <c r="G82" s="653">
        <v>0</v>
      </c>
      <c r="H82" s="876">
        <f t="shared" si="17"/>
        <v>0</v>
      </c>
      <c r="J82" s="133"/>
      <c r="K82" s="133"/>
      <c r="L82" s="133"/>
      <c r="M82" s="133"/>
    </row>
    <row r="83" spans="1:13">
      <c r="A83" s="350">
        <f t="shared" si="16"/>
        <v>73</v>
      </c>
      <c r="C83" s="542" t="s">
        <v>124</v>
      </c>
      <c r="D83" s="116" t="s">
        <v>133</v>
      </c>
      <c r="E83" s="632">
        <f t="shared" si="19"/>
        <v>2019</v>
      </c>
      <c r="F83" s="653">
        <v>0</v>
      </c>
      <c r="G83" s="653">
        <v>0</v>
      </c>
      <c r="H83" s="876">
        <f t="shared" si="17"/>
        <v>0</v>
      </c>
      <c r="J83" s="133"/>
      <c r="K83" s="133"/>
      <c r="L83" s="133"/>
      <c r="M83" s="133"/>
    </row>
    <row r="84" spans="1:13">
      <c r="A84" s="350">
        <f t="shared" si="16"/>
        <v>74</v>
      </c>
      <c r="C84" s="542" t="s">
        <v>123</v>
      </c>
      <c r="D84" s="116" t="s">
        <v>133</v>
      </c>
      <c r="E84" s="632">
        <f t="shared" si="19"/>
        <v>2019</v>
      </c>
      <c r="F84" s="654">
        <v>0</v>
      </c>
      <c r="G84" s="654">
        <v>0</v>
      </c>
      <c r="H84" s="877">
        <f t="shared" si="17"/>
        <v>0</v>
      </c>
    </row>
    <row r="85" spans="1:13">
      <c r="A85" s="350">
        <f t="shared" si="16"/>
        <v>75</v>
      </c>
      <c r="C85" s="543" t="s">
        <v>151</v>
      </c>
      <c r="D85" s="116" t="str">
        <f>"Average of Lines "&amp;A72&amp;"-"&amp;A84&amp;""</f>
        <v>Average of Lines 62-74</v>
      </c>
      <c r="E85" s="868"/>
      <c r="F85" s="643">
        <f>+AVERAGE(F72:F84)</f>
        <v>0</v>
      </c>
      <c r="G85" s="643">
        <f>+AVERAGE(G72:G84)</f>
        <v>0</v>
      </c>
      <c r="H85" s="544">
        <f>+AVERAGE(H72:H84)</f>
        <v>0</v>
      </c>
      <c r="I85" s="179"/>
      <c r="J85" s="133"/>
      <c r="K85" s="133"/>
      <c r="L85" s="133"/>
      <c r="M85" s="133"/>
    </row>
    <row r="86" spans="1:13">
      <c r="A86" s="350"/>
      <c r="C86" s="542"/>
      <c r="E86" s="545"/>
      <c r="F86" s="542"/>
      <c r="G86" s="542"/>
      <c r="H86" s="873"/>
      <c r="I86" s="134"/>
      <c r="J86" s="133"/>
      <c r="K86" s="133"/>
      <c r="L86" s="133"/>
      <c r="M86" s="133"/>
    </row>
    <row r="87" spans="1:13" ht="31.5">
      <c r="A87" s="350">
        <f>+A85+1</f>
        <v>76</v>
      </c>
      <c r="C87" s="865" t="s">
        <v>174</v>
      </c>
      <c r="D87" s="870" t="str">
        <f>"Sum Lines "&amp;A21&amp;", "&amp;A37&amp;", "&amp;A53&amp;", "&amp;A69&amp;", &amp; "&amp;A85&amp;")"</f>
        <v>Sum Lines 15, 30, 45, 60, &amp; 75)</v>
      </c>
      <c r="E87" s="868"/>
      <c r="F87" s="871">
        <f>F21+F37+F53+F69+F85</f>
        <v>0</v>
      </c>
      <c r="G87" s="871">
        <f>G21+G37+G53+G69+G85</f>
        <v>0</v>
      </c>
      <c r="H87" s="548">
        <f>H21+H37+H53+H69+H85</f>
        <v>0</v>
      </c>
      <c r="I87" s="179"/>
    </row>
    <row r="88" spans="1:13">
      <c r="A88" s="350"/>
      <c r="B88" s="349"/>
      <c r="C88" s="542"/>
      <c r="E88" s="545"/>
      <c r="F88" s="542"/>
      <c r="G88" s="135"/>
      <c r="H88" s="873"/>
      <c r="I88" s="119"/>
      <c r="J88" s="133"/>
      <c r="K88" s="133"/>
      <c r="L88" s="133"/>
      <c r="M88" s="133"/>
    </row>
    <row r="89" spans="1:13">
      <c r="A89" s="350"/>
      <c r="B89" s="349"/>
      <c r="C89" s="542"/>
      <c r="E89" s="545"/>
      <c r="F89" s="542"/>
      <c r="G89" s="135"/>
      <c r="H89" s="873"/>
      <c r="I89" s="119"/>
      <c r="J89" s="133"/>
      <c r="K89" s="133"/>
      <c r="L89" s="133"/>
      <c r="M89" s="133"/>
    </row>
    <row r="90" spans="1:13" ht="7.5" customHeight="1">
      <c r="A90" s="350"/>
      <c r="B90" s="349"/>
      <c r="C90" s="542"/>
      <c r="E90" s="545"/>
      <c r="F90" s="542"/>
      <c r="G90" s="867"/>
      <c r="H90" s="873"/>
      <c r="I90" s="119"/>
      <c r="J90" s="133"/>
      <c r="K90" s="133"/>
      <c r="L90" s="133"/>
      <c r="M90" s="133"/>
    </row>
    <row r="91" spans="1:13">
      <c r="A91" s="633" t="s">
        <v>150</v>
      </c>
      <c r="H91" s="872"/>
    </row>
    <row r="92" spans="1:13">
      <c r="A92" s="882"/>
      <c r="B92" s="653"/>
      <c r="C92" s="653"/>
      <c r="D92" s="653"/>
      <c r="E92" s="653"/>
      <c r="F92" s="653"/>
      <c r="G92" s="653"/>
      <c r="H92" s="541"/>
      <c r="I92" s="764"/>
      <c r="J92" s="948"/>
      <c r="K92" s="949"/>
      <c r="L92" s="949"/>
      <c r="M92" s="949"/>
    </row>
    <row r="93" spans="1:13" ht="47.25">
      <c r="A93" s="350">
        <f>+A87+1</f>
        <v>77</v>
      </c>
      <c r="C93" s="865" t="s">
        <v>149</v>
      </c>
      <c r="D93" s="349" t="s">
        <v>415</v>
      </c>
      <c r="E93" s="349" t="s">
        <v>125</v>
      </c>
      <c r="F93" s="349" t="s">
        <v>122</v>
      </c>
      <c r="G93" s="351" t="s">
        <v>667</v>
      </c>
      <c r="H93" s="132" t="s">
        <v>668</v>
      </c>
      <c r="J93" s="133"/>
      <c r="K93" s="133"/>
      <c r="L93" s="133"/>
      <c r="M93" s="133"/>
    </row>
    <row r="94" spans="1:13">
      <c r="A94" s="350">
        <f t="shared" ref="A94:A107" si="20">+A93+1</f>
        <v>78</v>
      </c>
      <c r="C94" s="542" t="s">
        <v>123</v>
      </c>
      <c r="D94" s="116" t="s">
        <v>133</v>
      </c>
      <c r="E94" s="887">
        <f>+E72</f>
        <v>2018</v>
      </c>
      <c r="F94" s="653">
        <v>0</v>
      </c>
      <c r="G94" s="653">
        <v>0</v>
      </c>
      <c r="H94" s="876">
        <f>+F94-G94</f>
        <v>0</v>
      </c>
      <c r="I94" s="134"/>
      <c r="J94" s="133"/>
      <c r="K94" s="133"/>
      <c r="L94" s="133"/>
      <c r="M94" s="133"/>
    </row>
    <row r="95" spans="1:13">
      <c r="A95" s="350">
        <f t="shared" si="20"/>
        <v>79</v>
      </c>
      <c r="C95" s="542" t="s">
        <v>139</v>
      </c>
      <c r="D95" s="866" t="s">
        <v>514</v>
      </c>
      <c r="E95" s="632">
        <f>+$E$94</f>
        <v>2018</v>
      </c>
      <c r="F95" s="653">
        <v>0</v>
      </c>
      <c r="G95" s="653">
        <v>0</v>
      </c>
      <c r="H95" s="876">
        <f t="shared" ref="H95:H106" si="21">+F95-G95</f>
        <v>0</v>
      </c>
      <c r="J95" s="133"/>
      <c r="K95" s="133"/>
      <c r="L95" s="133"/>
      <c r="M95" s="133"/>
    </row>
    <row r="96" spans="1:13">
      <c r="A96" s="350">
        <f t="shared" si="20"/>
        <v>80</v>
      </c>
      <c r="B96" s="349"/>
      <c r="C96" s="542" t="s">
        <v>138</v>
      </c>
      <c r="D96" s="116" t="s">
        <v>133</v>
      </c>
      <c r="E96" s="632">
        <f t="shared" ref="E96:E101" si="22">+$E$94</f>
        <v>2018</v>
      </c>
      <c r="F96" s="653">
        <v>0</v>
      </c>
      <c r="G96" s="653">
        <v>0</v>
      </c>
      <c r="H96" s="876">
        <f t="shared" si="21"/>
        <v>0</v>
      </c>
      <c r="I96" s="119"/>
      <c r="J96" s="133"/>
      <c r="K96" s="133"/>
      <c r="L96" s="133"/>
      <c r="M96" s="133"/>
    </row>
    <row r="97" spans="1:13">
      <c r="A97" s="350">
        <f t="shared" si="20"/>
        <v>81</v>
      </c>
      <c r="B97" s="349"/>
      <c r="C97" s="542" t="s">
        <v>137</v>
      </c>
      <c r="D97" s="116" t="s">
        <v>133</v>
      </c>
      <c r="E97" s="632">
        <f t="shared" si="22"/>
        <v>2018</v>
      </c>
      <c r="F97" s="653">
        <v>0</v>
      </c>
      <c r="G97" s="653">
        <v>0</v>
      </c>
      <c r="H97" s="876">
        <f t="shared" si="21"/>
        <v>0</v>
      </c>
      <c r="I97" s="119"/>
      <c r="J97" s="133"/>
      <c r="K97" s="133"/>
      <c r="L97" s="133"/>
      <c r="M97" s="133"/>
    </row>
    <row r="98" spans="1:13">
      <c r="A98" s="350">
        <f t="shared" si="20"/>
        <v>82</v>
      </c>
      <c r="C98" s="542" t="s">
        <v>136</v>
      </c>
      <c r="D98" s="866" t="s">
        <v>514</v>
      </c>
      <c r="E98" s="632">
        <f t="shared" si="22"/>
        <v>2018</v>
      </c>
      <c r="F98" s="653">
        <v>0</v>
      </c>
      <c r="G98" s="653">
        <v>0</v>
      </c>
      <c r="H98" s="876">
        <f t="shared" si="21"/>
        <v>0</v>
      </c>
      <c r="I98" s="119"/>
      <c r="J98" s="133"/>
      <c r="K98" s="133"/>
      <c r="L98" s="133"/>
      <c r="M98" s="133"/>
    </row>
    <row r="99" spans="1:13">
      <c r="A99" s="350">
        <f t="shared" si="20"/>
        <v>83</v>
      </c>
      <c r="C99" s="542" t="s">
        <v>135</v>
      </c>
      <c r="D99" s="116" t="s">
        <v>133</v>
      </c>
      <c r="E99" s="632">
        <f t="shared" si="22"/>
        <v>2018</v>
      </c>
      <c r="F99" s="653">
        <v>0</v>
      </c>
      <c r="G99" s="653">
        <v>0</v>
      </c>
      <c r="H99" s="876">
        <f t="shared" si="21"/>
        <v>0</v>
      </c>
    </row>
    <row r="100" spans="1:13">
      <c r="A100" s="350">
        <f t="shared" si="20"/>
        <v>84</v>
      </c>
      <c r="C100" s="542" t="s">
        <v>134</v>
      </c>
      <c r="D100" s="116" t="s">
        <v>133</v>
      </c>
      <c r="E100" s="632">
        <f t="shared" si="22"/>
        <v>2018</v>
      </c>
      <c r="F100" s="653">
        <v>0</v>
      </c>
      <c r="G100" s="653">
        <v>0</v>
      </c>
      <c r="H100" s="876">
        <f t="shared" si="21"/>
        <v>0</v>
      </c>
      <c r="I100" s="134"/>
      <c r="J100" s="133"/>
      <c r="K100" s="133"/>
      <c r="L100" s="133"/>
      <c r="M100" s="133"/>
    </row>
    <row r="101" spans="1:13">
      <c r="A101" s="350">
        <f t="shared" si="20"/>
        <v>85</v>
      </c>
      <c r="C101" s="542" t="s">
        <v>132</v>
      </c>
      <c r="D101" s="866" t="s">
        <v>514</v>
      </c>
      <c r="E101" s="632">
        <f t="shared" si="22"/>
        <v>2018</v>
      </c>
      <c r="F101" s="653">
        <v>0</v>
      </c>
      <c r="G101" s="653">
        <v>0</v>
      </c>
      <c r="H101" s="876">
        <f t="shared" si="21"/>
        <v>0</v>
      </c>
      <c r="J101" s="133"/>
      <c r="K101" s="133"/>
      <c r="L101" s="133"/>
      <c r="M101" s="133"/>
    </row>
    <row r="102" spans="1:13">
      <c r="A102" s="350">
        <f t="shared" si="20"/>
        <v>86</v>
      </c>
      <c r="B102" s="349"/>
      <c r="C102" s="542" t="s">
        <v>142</v>
      </c>
      <c r="D102" s="116" t="s">
        <v>133</v>
      </c>
      <c r="E102" s="632">
        <f>+E101+1</f>
        <v>2019</v>
      </c>
      <c r="F102" s="653">
        <v>0</v>
      </c>
      <c r="G102" s="653">
        <v>0</v>
      </c>
      <c r="H102" s="876">
        <f t="shared" si="21"/>
        <v>0</v>
      </c>
      <c r="I102" s="119"/>
      <c r="J102" s="133"/>
      <c r="K102" s="133"/>
      <c r="L102" s="133"/>
      <c r="M102" s="133"/>
    </row>
    <row r="103" spans="1:13">
      <c r="A103" s="350">
        <f t="shared" si="20"/>
        <v>87</v>
      </c>
      <c r="B103" s="349"/>
      <c r="C103" s="542" t="s">
        <v>141</v>
      </c>
      <c r="D103" s="116" t="s">
        <v>133</v>
      </c>
      <c r="E103" s="632">
        <f>+$E$102</f>
        <v>2019</v>
      </c>
      <c r="F103" s="653">
        <v>0</v>
      </c>
      <c r="G103" s="653">
        <v>0</v>
      </c>
      <c r="H103" s="876">
        <f t="shared" si="21"/>
        <v>0</v>
      </c>
      <c r="I103" s="119"/>
      <c r="J103" s="133"/>
      <c r="K103" s="133"/>
      <c r="L103" s="133"/>
      <c r="M103" s="133"/>
    </row>
    <row r="104" spans="1:13">
      <c r="A104" s="350">
        <f t="shared" si="20"/>
        <v>88</v>
      </c>
      <c r="C104" s="542" t="s">
        <v>140</v>
      </c>
      <c r="D104" s="866" t="s">
        <v>514</v>
      </c>
      <c r="E104" s="632">
        <f t="shared" ref="E104:E106" si="23">+$E$102</f>
        <v>2019</v>
      </c>
      <c r="F104" s="653">
        <v>0</v>
      </c>
      <c r="G104" s="653">
        <v>0</v>
      </c>
      <c r="H104" s="876">
        <f t="shared" si="21"/>
        <v>0</v>
      </c>
      <c r="I104" s="119"/>
      <c r="J104" s="133"/>
      <c r="K104" s="133"/>
      <c r="L104" s="133"/>
      <c r="M104" s="133"/>
    </row>
    <row r="105" spans="1:13">
      <c r="A105" s="350">
        <f t="shared" si="20"/>
        <v>89</v>
      </c>
      <c r="C105" s="542" t="s">
        <v>124</v>
      </c>
      <c r="D105" s="116" t="s">
        <v>133</v>
      </c>
      <c r="E105" s="632">
        <f t="shared" si="23"/>
        <v>2019</v>
      </c>
      <c r="F105" s="653">
        <v>0</v>
      </c>
      <c r="G105" s="653">
        <v>0</v>
      </c>
      <c r="H105" s="876">
        <f t="shared" si="21"/>
        <v>0</v>
      </c>
      <c r="I105" s="119"/>
      <c r="J105" s="133"/>
      <c r="K105" s="133"/>
      <c r="L105" s="133"/>
      <c r="M105" s="133"/>
    </row>
    <row r="106" spans="1:13">
      <c r="A106" s="350">
        <f t="shared" si="20"/>
        <v>90</v>
      </c>
      <c r="C106" s="542" t="s">
        <v>123</v>
      </c>
      <c r="D106" s="116" t="s">
        <v>133</v>
      </c>
      <c r="E106" s="632">
        <f t="shared" si="23"/>
        <v>2019</v>
      </c>
      <c r="F106" s="654">
        <v>0</v>
      </c>
      <c r="G106" s="654">
        <v>0</v>
      </c>
      <c r="H106" s="877">
        <f t="shared" si="21"/>
        <v>0</v>
      </c>
    </row>
    <row r="107" spans="1:13">
      <c r="A107" s="350">
        <f t="shared" si="20"/>
        <v>91</v>
      </c>
      <c r="C107" s="543" t="s">
        <v>147</v>
      </c>
      <c r="D107" s="116" t="str">
        <f>"Average of Lines "&amp;A94&amp;"-"&amp;A106&amp;""</f>
        <v>Average of Lines 78-90</v>
      </c>
      <c r="E107" s="546"/>
      <c r="F107" s="643">
        <f>+AVERAGE(F94:F106)</f>
        <v>0</v>
      </c>
      <c r="G107" s="643">
        <f>+AVERAGE(G94:G106)</f>
        <v>0</v>
      </c>
      <c r="H107" s="544">
        <f>+AVERAGE(H94:H106)</f>
        <v>0</v>
      </c>
      <c r="J107" s="133"/>
      <c r="K107" s="133"/>
      <c r="L107" s="133"/>
      <c r="M107" s="133"/>
    </row>
    <row r="108" spans="1:13">
      <c r="A108" s="350"/>
      <c r="B108" s="349"/>
      <c r="C108" s="542"/>
      <c r="E108" s="546"/>
      <c r="F108" s="542"/>
      <c r="G108" s="867"/>
      <c r="H108" s="873"/>
      <c r="I108" s="119"/>
      <c r="J108" s="133"/>
      <c r="K108" s="133"/>
      <c r="L108" s="133"/>
      <c r="M108" s="133"/>
    </row>
    <row r="109" spans="1:13">
      <c r="A109" s="350">
        <f>+A107+1</f>
        <v>92</v>
      </c>
      <c r="C109" s="865" t="s">
        <v>146</v>
      </c>
      <c r="D109" s="116" t="s">
        <v>415</v>
      </c>
      <c r="E109" s="470"/>
      <c r="H109" s="872"/>
      <c r="J109" s="133"/>
      <c r="K109" s="133"/>
      <c r="L109" s="133"/>
      <c r="M109" s="133"/>
    </row>
    <row r="110" spans="1:13">
      <c r="A110" s="350">
        <f t="shared" ref="A110:A123" si="24">+A109+1</f>
        <v>93</v>
      </c>
      <c r="C110" s="542" t="s">
        <v>123</v>
      </c>
      <c r="D110" s="116" t="s">
        <v>133</v>
      </c>
      <c r="E110" s="887">
        <f>+E94</f>
        <v>2018</v>
      </c>
      <c r="F110" s="653">
        <v>0</v>
      </c>
      <c r="G110" s="653">
        <v>0</v>
      </c>
      <c r="H110" s="876">
        <f>+F110-G110</f>
        <v>0</v>
      </c>
      <c r="I110" s="134"/>
      <c r="J110" s="133"/>
      <c r="K110" s="133"/>
      <c r="L110" s="133"/>
      <c r="M110" s="133"/>
    </row>
    <row r="111" spans="1:13">
      <c r="A111" s="350">
        <f t="shared" si="24"/>
        <v>94</v>
      </c>
      <c r="C111" s="542" t="s">
        <v>139</v>
      </c>
      <c r="D111" s="116" t="s">
        <v>133</v>
      </c>
      <c r="E111" s="632">
        <f>+$E$110</f>
        <v>2018</v>
      </c>
      <c r="F111" s="653">
        <v>0</v>
      </c>
      <c r="G111" s="653">
        <v>0</v>
      </c>
      <c r="H111" s="876">
        <f t="shared" ref="H111:H122" si="25">+F111-G111</f>
        <v>0</v>
      </c>
      <c r="J111" s="133"/>
      <c r="K111" s="133"/>
      <c r="L111" s="133"/>
      <c r="M111" s="133"/>
    </row>
    <row r="112" spans="1:13">
      <c r="A112" s="350">
        <f t="shared" si="24"/>
        <v>95</v>
      </c>
      <c r="B112" s="349"/>
      <c r="C112" s="542" t="s">
        <v>138</v>
      </c>
      <c r="D112" s="116" t="s">
        <v>133</v>
      </c>
      <c r="E112" s="632">
        <f t="shared" ref="E112:E117" si="26">+$E$110</f>
        <v>2018</v>
      </c>
      <c r="F112" s="653">
        <v>0</v>
      </c>
      <c r="G112" s="653">
        <v>0</v>
      </c>
      <c r="H112" s="876">
        <f t="shared" si="25"/>
        <v>0</v>
      </c>
      <c r="I112" s="119"/>
      <c r="J112" s="133"/>
      <c r="K112" s="133"/>
      <c r="L112" s="133"/>
      <c r="M112" s="133"/>
    </row>
    <row r="113" spans="1:13">
      <c r="A113" s="350">
        <f t="shared" si="24"/>
        <v>96</v>
      </c>
      <c r="B113" s="349"/>
      <c r="C113" s="542" t="s">
        <v>137</v>
      </c>
      <c r="D113" s="116" t="s">
        <v>133</v>
      </c>
      <c r="E113" s="632">
        <f t="shared" si="26"/>
        <v>2018</v>
      </c>
      <c r="F113" s="653">
        <v>0</v>
      </c>
      <c r="G113" s="653">
        <v>0</v>
      </c>
      <c r="H113" s="876">
        <f t="shared" si="25"/>
        <v>0</v>
      </c>
      <c r="I113" s="119"/>
      <c r="J113" s="133"/>
      <c r="K113" s="133"/>
      <c r="L113" s="133"/>
      <c r="M113" s="133"/>
    </row>
    <row r="114" spans="1:13">
      <c r="A114" s="350">
        <f t="shared" si="24"/>
        <v>97</v>
      </c>
      <c r="C114" s="542" t="s">
        <v>136</v>
      </c>
      <c r="D114" s="116" t="s">
        <v>133</v>
      </c>
      <c r="E114" s="632">
        <f t="shared" si="26"/>
        <v>2018</v>
      </c>
      <c r="F114" s="653">
        <v>0</v>
      </c>
      <c r="G114" s="653">
        <v>0</v>
      </c>
      <c r="H114" s="876">
        <f t="shared" si="25"/>
        <v>0</v>
      </c>
      <c r="I114" s="119"/>
      <c r="J114" s="133"/>
      <c r="K114" s="133"/>
      <c r="L114" s="133"/>
      <c r="M114" s="133"/>
    </row>
    <row r="115" spans="1:13">
      <c r="A115" s="350">
        <f t="shared" si="24"/>
        <v>98</v>
      </c>
      <c r="C115" s="542" t="s">
        <v>135</v>
      </c>
      <c r="D115" s="116" t="s">
        <v>133</v>
      </c>
      <c r="E115" s="632">
        <f t="shared" si="26"/>
        <v>2018</v>
      </c>
      <c r="F115" s="653">
        <v>0</v>
      </c>
      <c r="G115" s="653">
        <v>0</v>
      </c>
      <c r="H115" s="876">
        <f t="shared" si="25"/>
        <v>0</v>
      </c>
    </row>
    <row r="116" spans="1:13">
      <c r="A116" s="350">
        <f t="shared" si="24"/>
        <v>99</v>
      </c>
      <c r="C116" s="542" t="s">
        <v>134</v>
      </c>
      <c r="D116" s="116" t="s">
        <v>133</v>
      </c>
      <c r="E116" s="632">
        <f t="shared" si="26"/>
        <v>2018</v>
      </c>
      <c r="F116" s="653">
        <v>0</v>
      </c>
      <c r="G116" s="653">
        <v>0</v>
      </c>
      <c r="H116" s="876">
        <f t="shared" si="25"/>
        <v>0</v>
      </c>
      <c r="I116" s="134"/>
      <c r="J116" s="133"/>
      <c r="K116" s="133"/>
      <c r="L116" s="133"/>
      <c r="M116" s="133"/>
    </row>
    <row r="117" spans="1:13">
      <c r="A117" s="350">
        <f t="shared" si="24"/>
        <v>100</v>
      </c>
      <c r="C117" s="542" t="s">
        <v>132</v>
      </c>
      <c r="D117" s="116" t="s">
        <v>133</v>
      </c>
      <c r="E117" s="632">
        <f t="shared" si="26"/>
        <v>2018</v>
      </c>
      <c r="F117" s="653">
        <v>0</v>
      </c>
      <c r="G117" s="653">
        <v>0</v>
      </c>
      <c r="H117" s="876">
        <f t="shared" si="25"/>
        <v>0</v>
      </c>
      <c r="J117" s="133"/>
      <c r="K117" s="133"/>
      <c r="L117" s="133"/>
      <c r="M117" s="133"/>
    </row>
    <row r="118" spans="1:13">
      <c r="A118" s="350">
        <f t="shared" si="24"/>
        <v>101</v>
      </c>
      <c r="B118" s="349"/>
      <c r="C118" s="542" t="s">
        <v>142</v>
      </c>
      <c r="D118" s="116" t="s">
        <v>133</v>
      </c>
      <c r="E118" s="632">
        <f>+E117+1</f>
        <v>2019</v>
      </c>
      <c r="F118" s="653">
        <v>0</v>
      </c>
      <c r="G118" s="653">
        <v>0</v>
      </c>
      <c r="H118" s="876">
        <f t="shared" si="25"/>
        <v>0</v>
      </c>
      <c r="I118" s="119"/>
      <c r="J118" s="133"/>
      <c r="K118" s="133"/>
      <c r="L118" s="133"/>
      <c r="M118" s="133"/>
    </row>
    <row r="119" spans="1:13">
      <c r="A119" s="350">
        <f t="shared" si="24"/>
        <v>102</v>
      </c>
      <c r="B119" s="349"/>
      <c r="C119" s="542" t="s">
        <v>141</v>
      </c>
      <c r="D119" s="866" t="s">
        <v>433</v>
      </c>
      <c r="E119" s="632">
        <f>+$E$118</f>
        <v>2019</v>
      </c>
      <c r="F119" s="653">
        <v>0</v>
      </c>
      <c r="G119" s="653">
        <v>0</v>
      </c>
      <c r="H119" s="876">
        <f t="shared" si="25"/>
        <v>0</v>
      </c>
      <c r="I119" s="119"/>
      <c r="J119" s="133"/>
      <c r="K119" s="133"/>
      <c r="L119" s="133"/>
      <c r="M119" s="133"/>
    </row>
    <row r="120" spans="1:13">
      <c r="A120" s="350">
        <f t="shared" si="24"/>
        <v>103</v>
      </c>
      <c r="C120" s="542" t="s">
        <v>140</v>
      </c>
      <c r="D120" s="116" t="s">
        <v>133</v>
      </c>
      <c r="E120" s="632">
        <f t="shared" ref="E120:E122" si="27">+$E$118</f>
        <v>2019</v>
      </c>
      <c r="F120" s="653">
        <v>0</v>
      </c>
      <c r="G120" s="653">
        <v>0</v>
      </c>
      <c r="H120" s="876">
        <f t="shared" si="25"/>
        <v>0</v>
      </c>
      <c r="I120" s="119"/>
      <c r="J120" s="133"/>
      <c r="K120" s="133"/>
      <c r="L120" s="133"/>
      <c r="M120" s="133"/>
    </row>
    <row r="121" spans="1:13">
      <c r="A121" s="350">
        <f t="shared" si="24"/>
        <v>104</v>
      </c>
      <c r="C121" s="542" t="s">
        <v>124</v>
      </c>
      <c r="D121" s="116" t="s">
        <v>133</v>
      </c>
      <c r="E121" s="632">
        <f t="shared" si="27"/>
        <v>2019</v>
      </c>
      <c r="F121" s="653">
        <v>0</v>
      </c>
      <c r="G121" s="653">
        <v>0</v>
      </c>
      <c r="H121" s="876">
        <f t="shared" si="25"/>
        <v>0</v>
      </c>
      <c r="I121" s="119"/>
      <c r="J121" s="133"/>
      <c r="K121" s="133"/>
      <c r="L121" s="133"/>
      <c r="M121" s="133"/>
    </row>
    <row r="122" spans="1:13">
      <c r="A122" s="350">
        <f t="shared" si="24"/>
        <v>105</v>
      </c>
      <c r="C122" s="542" t="s">
        <v>123</v>
      </c>
      <c r="D122" s="116" t="s">
        <v>133</v>
      </c>
      <c r="E122" s="632">
        <f t="shared" si="27"/>
        <v>2019</v>
      </c>
      <c r="F122" s="654">
        <v>0</v>
      </c>
      <c r="G122" s="654">
        <v>0</v>
      </c>
      <c r="H122" s="877">
        <f t="shared" si="25"/>
        <v>0</v>
      </c>
    </row>
    <row r="123" spans="1:13">
      <c r="A123" s="350">
        <f t="shared" si="24"/>
        <v>106</v>
      </c>
      <c r="C123" s="543" t="s">
        <v>145</v>
      </c>
      <c r="D123" s="116" t="str">
        <f>"Average of Lines "&amp;A110&amp;"-"&amp;A122&amp;""</f>
        <v>Average of Lines 93-105</v>
      </c>
      <c r="E123" s="546"/>
      <c r="F123" s="643">
        <f>+AVERAGE(F110:F122)</f>
        <v>0</v>
      </c>
      <c r="G123" s="643">
        <f>+AVERAGE(G110:G122)</f>
        <v>0</v>
      </c>
      <c r="H123" s="544">
        <f>+AVERAGE(H110:H122)</f>
        <v>0</v>
      </c>
      <c r="J123" s="133"/>
      <c r="K123" s="133"/>
      <c r="L123" s="133"/>
      <c r="M123" s="133"/>
    </row>
    <row r="124" spans="1:13">
      <c r="A124" s="350"/>
      <c r="B124" s="349"/>
      <c r="C124" s="542"/>
      <c r="E124" s="546"/>
      <c r="F124" s="542"/>
      <c r="G124" s="867"/>
      <c r="H124" s="873"/>
      <c r="I124" s="119"/>
      <c r="J124" s="133"/>
      <c r="K124" s="133"/>
      <c r="L124" s="133"/>
      <c r="M124" s="133"/>
    </row>
    <row r="125" spans="1:13">
      <c r="A125" s="350">
        <f>+A123+1</f>
        <v>107</v>
      </c>
      <c r="C125" s="865" t="s">
        <v>397</v>
      </c>
      <c r="D125" s="116" t="s">
        <v>415</v>
      </c>
      <c r="E125" s="470"/>
      <c r="H125" s="872"/>
      <c r="J125" s="133"/>
      <c r="K125" s="133"/>
      <c r="L125" s="133"/>
      <c r="M125" s="133"/>
    </row>
    <row r="126" spans="1:13">
      <c r="A126" s="350">
        <f>+A125+1</f>
        <v>108</v>
      </c>
      <c r="C126" s="542" t="s">
        <v>123</v>
      </c>
      <c r="D126" s="116" t="s">
        <v>133</v>
      </c>
      <c r="E126" s="887">
        <f>+E110</f>
        <v>2018</v>
      </c>
      <c r="F126" s="653">
        <v>0</v>
      </c>
      <c r="G126" s="653">
        <v>0</v>
      </c>
      <c r="H126" s="876">
        <f>+F126-G126</f>
        <v>0</v>
      </c>
      <c r="I126" s="134"/>
      <c r="J126" s="133"/>
      <c r="K126" s="133"/>
      <c r="L126" s="133"/>
      <c r="M126" s="133"/>
    </row>
    <row r="127" spans="1:13">
      <c r="A127" s="350">
        <f t="shared" ref="A127:A138" si="28">+A126+1</f>
        <v>109</v>
      </c>
      <c r="C127" s="542" t="s">
        <v>139</v>
      </c>
      <c r="D127" s="116" t="s">
        <v>133</v>
      </c>
      <c r="E127" s="632">
        <f>+$E$126</f>
        <v>2018</v>
      </c>
      <c r="F127" s="653">
        <v>0</v>
      </c>
      <c r="G127" s="653">
        <v>0</v>
      </c>
      <c r="H127" s="876">
        <f t="shared" ref="H127:H138" si="29">+F127-G127</f>
        <v>0</v>
      </c>
      <c r="I127" s="134"/>
      <c r="J127" s="133"/>
      <c r="K127" s="133"/>
      <c r="L127" s="133"/>
      <c r="M127" s="133"/>
    </row>
    <row r="128" spans="1:13">
      <c r="A128" s="350">
        <f t="shared" si="28"/>
        <v>110</v>
      </c>
      <c r="C128" s="542" t="s">
        <v>138</v>
      </c>
      <c r="D128" s="116" t="s">
        <v>133</v>
      </c>
      <c r="E128" s="632">
        <f t="shared" ref="E128:E133" si="30">+$E$126</f>
        <v>2018</v>
      </c>
      <c r="F128" s="653">
        <v>0</v>
      </c>
      <c r="G128" s="653">
        <v>0</v>
      </c>
      <c r="H128" s="876">
        <f t="shared" si="29"/>
        <v>0</v>
      </c>
      <c r="I128" s="134"/>
      <c r="J128" s="133"/>
      <c r="K128" s="133"/>
      <c r="L128" s="133"/>
      <c r="M128" s="133"/>
    </row>
    <row r="129" spans="1:13">
      <c r="A129" s="350">
        <f t="shared" si="28"/>
        <v>111</v>
      </c>
      <c r="C129" s="542" t="s">
        <v>137</v>
      </c>
      <c r="D129" s="116" t="s">
        <v>133</v>
      </c>
      <c r="E129" s="632">
        <f t="shared" si="30"/>
        <v>2018</v>
      </c>
      <c r="F129" s="653">
        <v>0</v>
      </c>
      <c r="G129" s="653">
        <v>0</v>
      </c>
      <c r="H129" s="876">
        <f t="shared" si="29"/>
        <v>0</v>
      </c>
      <c r="I129" s="134"/>
      <c r="J129" s="133"/>
      <c r="K129" s="133"/>
      <c r="L129" s="133"/>
      <c r="M129" s="133"/>
    </row>
    <row r="130" spans="1:13">
      <c r="A130" s="350">
        <f t="shared" si="28"/>
        <v>112</v>
      </c>
      <c r="C130" s="542" t="s">
        <v>136</v>
      </c>
      <c r="D130" s="116" t="s">
        <v>133</v>
      </c>
      <c r="E130" s="632">
        <f t="shared" si="30"/>
        <v>2018</v>
      </c>
      <c r="F130" s="653">
        <v>0</v>
      </c>
      <c r="G130" s="653">
        <v>0</v>
      </c>
      <c r="H130" s="876">
        <f t="shared" si="29"/>
        <v>0</v>
      </c>
      <c r="I130" s="134"/>
      <c r="J130" s="133"/>
      <c r="K130" s="133"/>
      <c r="L130" s="133"/>
      <c r="M130" s="133"/>
    </row>
    <row r="131" spans="1:13">
      <c r="A131" s="350">
        <f t="shared" si="28"/>
        <v>113</v>
      </c>
      <c r="C131" s="542" t="s">
        <v>135</v>
      </c>
      <c r="D131" s="116" t="s">
        <v>133</v>
      </c>
      <c r="E131" s="632">
        <f t="shared" si="30"/>
        <v>2018</v>
      </c>
      <c r="F131" s="653">
        <v>0</v>
      </c>
      <c r="G131" s="653">
        <v>0</v>
      </c>
      <c r="H131" s="876">
        <f t="shared" si="29"/>
        <v>0</v>
      </c>
      <c r="I131" s="134"/>
      <c r="J131" s="133"/>
      <c r="K131" s="133"/>
      <c r="L131" s="133"/>
      <c r="M131" s="133"/>
    </row>
    <row r="132" spans="1:13">
      <c r="A132" s="350">
        <f t="shared" si="28"/>
        <v>114</v>
      </c>
      <c r="C132" s="542" t="s">
        <v>134</v>
      </c>
      <c r="D132" s="116" t="s">
        <v>133</v>
      </c>
      <c r="E132" s="632">
        <f t="shared" si="30"/>
        <v>2018</v>
      </c>
      <c r="F132" s="653">
        <v>0</v>
      </c>
      <c r="G132" s="653">
        <v>0</v>
      </c>
      <c r="H132" s="876">
        <f t="shared" si="29"/>
        <v>0</v>
      </c>
      <c r="I132" s="134"/>
      <c r="J132" s="133"/>
      <c r="K132" s="133"/>
      <c r="L132" s="133"/>
      <c r="M132" s="133"/>
    </row>
    <row r="133" spans="1:13">
      <c r="A133" s="350">
        <f t="shared" si="28"/>
        <v>115</v>
      </c>
      <c r="C133" s="542" t="s">
        <v>132</v>
      </c>
      <c r="D133" s="116" t="s">
        <v>133</v>
      </c>
      <c r="E133" s="632">
        <f t="shared" si="30"/>
        <v>2018</v>
      </c>
      <c r="F133" s="653">
        <v>0</v>
      </c>
      <c r="G133" s="653">
        <v>0</v>
      </c>
      <c r="H133" s="876">
        <f t="shared" si="29"/>
        <v>0</v>
      </c>
      <c r="I133" s="134"/>
      <c r="J133" s="133"/>
      <c r="K133" s="133"/>
      <c r="L133" s="133"/>
      <c r="M133" s="133"/>
    </row>
    <row r="134" spans="1:13">
      <c r="A134" s="350">
        <f t="shared" si="28"/>
        <v>116</v>
      </c>
      <c r="C134" s="542" t="s">
        <v>142</v>
      </c>
      <c r="D134" s="116" t="s">
        <v>133</v>
      </c>
      <c r="E134" s="632">
        <f>+E133+1</f>
        <v>2019</v>
      </c>
      <c r="F134" s="653">
        <v>0</v>
      </c>
      <c r="G134" s="653">
        <v>0</v>
      </c>
      <c r="H134" s="876">
        <f t="shared" si="29"/>
        <v>0</v>
      </c>
      <c r="I134" s="134"/>
      <c r="J134" s="133"/>
      <c r="K134" s="133"/>
      <c r="L134" s="133"/>
      <c r="M134" s="133"/>
    </row>
    <row r="135" spans="1:13">
      <c r="A135" s="350">
        <f t="shared" si="28"/>
        <v>117</v>
      </c>
      <c r="C135" s="542" t="s">
        <v>141</v>
      </c>
      <c r="D135" s="866" t="s">
        <v>434</v>
      </c>
      <c r="E135" s="632">
        <f>+$E$134</f>
        <v>2019</v>
      </c>
      <c r="F135" s="653">
        <v>0</v>
      </c>
      <c r="G135" s="653">
        <v>0</v>
      </c>
      <c r="H135" s="876">
        <f t="shared" si="29"/>
        <v>0</v>
      </c>
      <c r="I135" s="134"/>
      <c r="J135" s="133"/>
      <c r="K135" s="133"/>
      <c r="L135" s="133"/>
      <c r="M135" s="133"/>
    </row>
    <row r="136" spans="1:13">
      <c r="A136" s="350">
        <f t="shared" si="28"/>
        <v>118</v>
      </c>
      <c r="C136" s="542" t="s">
        <v>140</v>
      </c>
      <c r="D136" s="116" t="s">
        <v>133</v>
      </c>
      <c r="E136" s="632">
        <f t="shared" ref="E136:E138" si="31">+$E$134</f>
        <v>2019</v>
      </c>
      <c r="F136" s="653">
        <v>0</v>
      </c>
      <c r="G136" s="653">
        <v>0</v>
      </c>
      <c r="H136" s="876">
        <f t="shared" si="29"/>
        <v>0</v>
      </c>
      <c r="I136" s="134"/>
      <c r="J136" s="133"/>
      <c r="K136" s="133"/>
      <c r="L136" s="133"/>
      <c r="M136" s="133"/>
    </row>
    <row r="137" spans="1:13">
      <c r="A137" s="350">
        <f t="shared" si="28"/>
        <v>119</v>
      </c>
      <c r="C137" s="542" t="s">
        <v>124</v>
      </c>
      <c r="D137" s="116" t="s">
        <v>133</v>
      </c>
      <c r="E137" s="632">
        <f t="shared" si="31"/>
        <v>2019</v>
      </c>
      <c r="F137" s="653">
        <v>0</v>
      </c>
      <c r="G137" s="653">
        <v>0</v>
      </c>
      <c r="H137" s="876">
        <f t="shared" si="29"/>
        <v>0</v>
      </c>
      <c r="I137" s="134"/>
      <c r="J137" s="133"/>
      <c r="K137" s="133"/>
      <c r="L137" s="133"/>
      <c r="M137" s="133"/>
    </row>
    <row r="138" spans="1:13">
      <c r="A138" s="350">
        <f t="shared" si="28"/>
        <v>120</v>
      </c>
      <c r="C138" s="542" t="s">
        <v>123</v>
      </c>
      <c r="D138" s="116" t="s">
        <v>133</v>
      </c>
      <c r="E138" s="632">
        <f t="shared" si="31"/>
        <v>2019</v>
      </c>
      <c r="F138" s="654">
        <v>0</v>
      </c>
      <c r="G138" s="654">
        <v>0</v>
      </c>
      <c r="H138" s="877">
        <f t="shared" si="29"/>
        <v>0</v>
      </c>
    </row>
    <row r="139" spans="1:13">
      <c r="A139" s="350">
        <f>+A138+1</f>
        <v>121</v>
      </c>
      <c r="C139" s="543" t="s">
        <v>398</v>
      </c>
      <c r="D139" s="116" t="str">
        <f>"Average of Lines "&amp;A126&amp;"-"&amp;A138&amp;""</f>
        <v>Average of Lines 108-120</v>
      </c>
      <c r="E139" s="546"/>
      <c r="F139" s="643">
        <f>+AVERAGE(F126:F138)</f>
        <v>0</v>
      </c>
      <c r="G139" s="643">
        <f>+AVERAGE(G126:G138)</f>
        <v>0</v>
      </c>
      <c r="H139" s="544">
        <f>+AVERAGE(H126:H138)</f>
        <v>0</v>
      </c>
      <c r="J139" s="133"/>
      <c r="K139" s="133"/>
      <c r="L139" s="133"/>
      <c r="M139" s="133"/>
    </row>
    <row r="140" spans="1:13">
      <c r="A140" s="350"/>
      <c r="C140" s="542"/>
      <c r="E140" s="547"/>
      <c r="F140" s="542"/>
      <c r="G140" s="867"/>
      <c r="H140" s="873"/>
      <c r="I140" s="119"/>
      <c r="J140" s="133"/>
      <c r="K140" s="133"/>
      <c r="L140" s="133"/>
      <c r="M140" s="133"/>
    </row>
    <row r="141" spans="1:13">
      <c r="A141" s="350">
        <f>+A139+1</f>
        <v>122</v>
      </c>
      <c r="C141" s="865" t="s">
        <v>144</v>
      </c>
      <c r="D141" s="116" t="s">
        <v>415</v>
      </c>
      <c r="E141" s="470"/>
      <c r="H141" s="872"/>
      <c r="J141" s="133"/>
      <c r="K141" s="133"/>
      <c r="L141" s="133"/>
      <c r="M141" s="133"/>
    </row>
    <row r="142" spans="1:13">
      <c r="A142" s="350">
        <f>+A141+1</f>
        <v>123</v>
      </c>
      <c r="C142" s="542" t="s">
        <v>123</v>
      </c>
      <c r="D142" s="116" t="s">
        <v>133</v>
      </c>
      <c r="E142" s="887">
        <f>+E126</f>
        <v>2018</v>
      </c>
      <c r="F142" s="653">
        <v>0</v>
      </c>
      <c r="G142" s="653">
        <v>0</v>
      </c>
      <c r="H142" s="876">
        <f>+F142-G142</f>
        <v>0</v>
      </c>
      <c r="I142" s="134"/>
      <c r="J142" s="133"/>
      <c r="K142" s="133"/>
      <c r="L142" s="133"/>
      <c r="M142" s="133"/>
    </row>
    <row r="143" spans="1:13">
      <c r="A143" s="350">
        <f t="shared" ref="A143:A154" si="32">+A142+1</f>
        <v>124</v>
      </c>
      <c r="C143" s="542" t="s">
        <v>139</v>
      </c>
      <c r="D143" s="116" t="s">
        <v>133</v>
      </c>
      <c r="E143" s="632">
        <f>+$E$142</f>
        <v>2018</v>
      </c>
      <c r="F143" s="653">
        <v>0</v>
      </c>
      <c r="G143" s="653">
        <v>0</v>
      </c>
      <c r="H143" s="876">
        <f t="shared" ref="H143:H154" si="33">+F143-G143</f>
        <v>0</v>
      </c>
      <c r="I143" s="134"/>
      <c r="J143" s="133"/>
      <c r="K143" s="133"/>
      <c r="L143" s="133"/>
      <c r="M143" s="133"/>
    </row>
    <row r="144" spans="1:13">
      <c r="A144" s="350">
        <f t="shared" si="32"/>
        <v>125</v>
      </c>
      <c r="C144" s="542" t="s">
        <v>138</v>
      </c>
      <c r="D144" s="116" t="s">
        <v>133</v>
      </c>
      <c r="E144" s="632">
        <f t="shared" ref="E144:E149" si="34">+$E$142</f>
        <v>2018</v>
      </c>
      <c r="F144" s="653">
        <v>0</v>
      </c>
      <c r="G144" s="653">
        <v>0</v>
      </c>
      <c r="H144" s="876">
        <f t="shared" si="33"/>
        <v>0</v>
      </c>
      <c r="I144" s="134"/>
      <c r="J144" s="133"/>
      <c r="K144" s="133"/>
      <c r="L144" s="133"/>
      <c r="M144" s="133"/>
    </row>
    <row r="145" spans="1:13">
      <c r="A145" s="350">
        <f t="shared" si="32"/>
        <v>126</v>
      </c>
      <c r="C145" s="542" t="s">
        <v>137</v>
      </c>
      <c r="D145" s="116" t="s">
        <v>133</v>
      </c>
      <c r="E145" s="632">
        <f t="shared" si="34"/>
        <v>2018</v>
      </c>
      <c r="F145" s="653">
        <v>0</v>
      </c>
      <c r="G145" s="653">
        <v>0</v>
      </c>
      <c r="H145" s="876">
        <f t="shared" si="33"/>
        <v>0</v>
      </c>
      <c r="I145" s="134"/>
      <c r="J145" s="133"/>
      <c r="K145" s="133"/>
      <c r="L145" s="133"/>
      <c r="M145" s="133"/>
    </row>
    <row r="146" spans="1:13">
      <c r="A146" s="350">
        <f t="shared" si="32"/>
        <v>127</v>
      </c>
      <c r="C146" s="542" t="s">
        <v>136</v>
      </c>
      <c r="D146" s="116" t="s">
        <v>133</v>
      </c>
      <c r="E146" s="632">
        <f t="shared" si="34"/>
        <v>2018</v>
      </c>
      <c r="F146" s="653">
        <v>0</v>
      </c>
      <c r="G146" s="653">
        <v>0</v>
      </c>
      <c r="H146" s="876">
        <f t="shared" si="33"/>
        <v>0</v>
      </c>
      <c r="I146" s="134"/>
      <c r="J146" s="133"/>
      <c r="K146" s="133"/>
      <c r="L146" s="133"/>
      <c r="M146" s="133"/>
    </row>
    <row r="147" spans="1:13">
      <c r="A147" s="350">
        <f t="shared" si="32"/>
        <v>128</v>
      </c>
      <c r="C147" s="542" t="s">
        <v>135</v>
      </c>
      <c r="D147" s="116" t="s">
        <v>133</v>
      </c>
      <c r="E147" s="632">
        <f t="shared" si="34"/>
        <v>2018</v>
      </c>
      <c r="F147" s="653">
        <v>0</v>
      </c>
      <c r="G147" s="653">
        <v>0</v>
      </c>
      <c r="H147" s="876">
        <f t="shared" si="33"/>
        <v>0</v>
      </c>
      <c r="I147" s="134"/>
      <c r="J147" s="133"/>
      <c r="K147" s="133"/>
      <c r="L147" s="133"/>
      <c r="M147" s="133"/>
    </row>
    <row r="148" spans="1:13">
      <c r="A148" s="350">
        <f t="shared" si="32"/>
        <v>129</v>
      </c>
      <c r="C148" s="542" t="s">
        <v>134</v>
      </c>
      <c r="D148" s="116" t="s">
        <v>133</v>
      </c>
      <c r="E148" s="632">
        <f t="shared" si="34"/>
        <v>2018</v>
      </c>
      <c r="F148" s="653">
        <v>0</v>
      </c>
      <c r="G148" s="653">
        <v>0</v>
      </c>
      <c r="H148" s="876">
        <f t="shared" si="33"/>
        <v>0</v>
      </c>
      <c r="I148" s="134"/>
      <c r="J148" s="133"/>
      <c r="K148" s="133"/>
      <c r="L148" s="133"/>
      <c r="M148" s="133"/>
    </row>
    <row r="149" spans="1:13">
      <c r="A149" s="350">
        <f t="shared" si="32"/>
        <v>130</v>
      </c>
      <c r="C149" s="542" t="s">
        <v>132</v>
      </c>
      <c r="D149" s="116" t="s">
        <v>133</v>
      </c>
      <c r="E149" s="632">
        <f t="shared" si="34"/>
        <v>2018</v>
      </c>
      <c r="F149" s="653">
        <v>0</v>
      </c>
      <c r="G149" s="653">
        <v>0</v>
      </c>
      <c r="H149" s="876">
        <f t="shared" si="33"/>
        <v>0</v>
      </c>
      <c r="I149" s="134"/>
      <c r="J149" s="133"/>
      <c r="K149" s="133"/>
      <c r="L149" s="133"/>
      <c r="M149" s="133"/>
    </row>
    <row r="150" spans="1:13">
      <c r="A150" s="350">
        <f t="shared" si="32"/>
        <v>131</v>
      </c>
      <c r="C150" s="542" t="s">
        <v>142</v>
      </c>
      <c r="D150" s="116" t="s">
        <v>133</v>
      </c>
      <c r="E150" s="632">
        <f>+E149+1</f>
        <v>2019</v>
      </c>
      <c r="F150" s="653">
        <v>0</v>
      </c>
      <c r="G150" s="653">
        <v>0</v>
      </c>
      <c r="H150" s="876">
        <f t="shared" si="33"/>
        <v>0</v>
      </c>
      <c r="I150" s="134"/>
      <c r="J150" s="133"/>
      <c r="K150" s="133"/>
      <c r="L150" s="133"/>
      <c r="M150" s="133"/>
    </row>
    <row r="151" spans="1:13">
      <c r="A151" s="350">
        <f t="shared" si="32"/>
        <v>132</v>
      </c>
      <c r="C151" s="542" t="s">
        <v>141</v>
      </c>
      <c r="D151" s="866" t="s">
        <v>435</v>
      </c>
      <c r="E151" s="632">
        <f>+$E$150</f>
        <v>2019</v>
      </c>
      <c r="F151" s="653">
        <v>0</v>
      </c>
      <c r="G151" s="653">
        <v>0</v>
      </c>
      <c r="H151" s="876">
        <f t="shared" si="33"/>
        <v>0</v>
      </c>
      <c r="I151" s="134"/>
      <c r="J151" s="133"/>
      <c r="K151" s="133"/>
      <c r="L151" s="133"/>
      <c r="M151" s="133"/>
    </row>
    <row r="152" spans="1:13">
      <c r="A152" s="350">
        <f t="shared" si="32"/>
        <v>133</v>
      </c>
      <c r="C152" s="542" t="s">
        <v>140</v>
      </c>
      <c r="D152" s="116" t="s">
        <v>133</v>
      </c>
      <c r="E152" s="632">
        <f t="shared" ref="E152:E154" si="35">+$E$150</f>
        <v>2019</v>
      </c>
      <c r="F152" s="653">
        <v>0</v>
      </c>
      <c r="G152" s="653">
        <v>0</v>
      </c>
      <c r="H152" s="876">
        <f t="shared" si="33"/>
        <v>0</v>
      </c>
      <c r="I152" s="134"/>
      <c r="J152" s="133"/>
      <c r="K152" s="133"/>
      <c r="L152" s="133"/>
      <c r="M152" s="133"/>
    </row>
    <row r="153" spans="1:13">
      <c r="A153" s="350">
        <f t="shared" si="32"/>
        <v>134</v>
      </c>
      <c r="C153" s="542" t="s">
        <v>124</v>
      </c>
      <c r="D153" s="116" t="s">
        <v>133</v>
      </c>
      <c r="E153" s="632">
        <f t="shared" si="35"/>
        <v>2019</v>
      </c>
      <c r="F153" s="653">
        <v>0</v>
      </c>
      <c r="G153" s="653">
        <v>0</v>
      </c>
      <c r="H153" s="876">
        <f t="shared" si="33"/>
        <v>0</v>
      </c>
      <c r="I153" s="134"/>
      <c r="J153" s="133"/>
      <c r="K153" s="133"/>
      <c r="L153" s="133"/>
      <c r="M153" s="133"/>
    </row>
    <row r="154" spans="1:13">
      <c r="A154" s="350">
        <f t="shared" si="32"/>
        <v>135</v>
      </c>
      <c r="C154" s="542" t="s">
        <v>123</v>
      </c>
      <c r="D154" s="116" t="s">
        <v>133</v>
      </c>
      <c r="E154" s="632">
        <f t="shared" si="35"/>
        <v>2019</v>
      </c>
      <c r="F154" s="654">
        <v>0</v>
      </c>
      <c r="G154" s="654">
        <v>0</v>
      </c>
      <c r="H154" s="877">
        <f t="shared" si="33"/>
        <v>0</v>
      </c>
    </row>
    <row r="155" spans="1:13">
      <c r="A155" s="350">
        <f>+A154+1</f>
        <v>136</v>
      </c>
      <c r="C155" s="543" t="s">
        <v>175</v>
      </c>
      <c r="D155" s="116" t="str">
        <f>"Average of Lines "&amp;A142&amp;"-"&amp;A154&amp;""</f>
        <v>Average of Lines 123-135</v>
      </c>
      <c r="E155" s="546"/>
      <c r="F155" s="643">
        <f>+AVERAGE(F142:F154)</f>
        <v>0</v>
      </c>
      <c r="G155" s="643">
        <f>+AVERAGE(G142:G154)</f>
        <v>0</v>
      </c>
      <c r="H155" s="544">
        <f>+AVERAGE(H142:H154)</f>
        <v>0</v>
      </c>
      <c r="J155" s="133"/>
      <c r="K155" s="133"/>
      <c r="L155" s="133"/>
      <c r="M155" s="133"/>
    </row>
    <row r="156" spans="1:13">
      <c r="A156" s="350"/>
      <c r="C156" s="542"/>
      <c r="D156" s="866"/>
      <c r="E156" s="547"/>
      <c r="F156" s="869"/>
      <c r="H156" s="872"/>
    </row>
    <row r="157" spans="1:13">
      <c r="A157" s="350">
        <f>+A155+1</f>
        <v>137</v>
      </c>
      <c r="C157" s="865" t="s">
        <v>143</v>
      </c>
      <c r="D157" s="116" t="s">
        <v>436</v>
      </c>
      <c r="E157" s="470"/>
      <c r="H157" s="872"/>
      <c r="J157" s="133"/>
      <c r="K157" s="133"/>
      <c r="L157" s="133"/>
      <c r="M157" s="133"/>
    </row>
    <row r="158" spans="1:13">
      <c r="A158" s="350">
        <f t="shared" ref="A158:A171" si="36">+A157+1</f>
        <v>138</v>
      </c>
      <c r="C158" s="542" t="s">
        <v>123</v>
      </c>
      <c r="D158" s="116" t="s">
        <v>133</v>
      </c>
      <c r="E158" s="887">
        <f>+E142</f>
        <v>2018</v>
      </c>
      <c r="F158" s="653">
        <v>0</v>
      </c>
      <c r="G158" s="653">
        <v>0</v>
      </c>
      <c r="H158" s="876">
        <f>+F158-G158</f>
        <v>0</v>
      </c>
      <c r="J158" s="133"/>
      <c r="K158" s="133"/>
      <c r="L158" s="133"/>
      <c r="M158" s="133"/>
    </row>
    <row r="159" spans="1:13">
      <c r="A159" s="350">
        <f t="shared" si="36"/>
        <v>139</v>
      </c>
      <c r="C159" s="542" t="s">
        <v>139</v>
      </c>
      <c r="D159" s="116" t="s">
        <v>133</v>
      </c>
      <c r="E159" s="632">
        <f>+$E$158</f>
        <v>2018</v>
      </c>
      <c r="F159" s="653">
        <v>0</v>
      </c>
      <c r="G159" s="653">
        <v>0</v>
      </c>
      <c r="H159" s="876">
        <f t="shared" ref="H159:H170" si="37">+F159-G159</f>
        <v>0</v>
      </c>
      <c r="J159" s="133"/>
      <c r="K159" s="133"/>
      <c r="L159" s="133"/>
      <c r="M159" s="133"/>
    </row>
    <row r="160" spans="1:13">
      <c r="A160" s="350">
        <f t="shared" si="36"/>
        <v>140</v>
      </c>
      <c r="C160" s="542" t="s">
        <v>138</v>
      </c>
      <c r="D160" s="116" t="s">
        <v>133</v>
      </c>
      <c r="E160" s="632">
        <f t="shared" ref="E160:E165" si="38">+$E$158</f>
        <v>2018</v>
      </c>
      <c r="F160" s="653">
        <v>0</v>
      </c>
      <c r="G160" s="653">
        <v>0</v>
      </c>
      <c r="H160" s="876">
        <f t="shared" si="37"/>
        <v>0</v>
      </c>
      <c r="J160" s="133"/>
      <c r="K160" s="133"/>
      <c r="L160" s="133"/>
      <c r="M160" s="133"/>
    </row>
    <row r="161" spans="1:13">
      <c r="A161" s="350">
        <f t="shared" si="36"/>
        <v>141</v>
      </c>
      <c r="C161" s="542" t="s">
        <v>137</v>
      </c>
      <c r="D161" s="116" t="s">
        <v>133</v>
      </c>
      <c r="E161" s="632">
        <f t="shared" si="38"/>
        <v>2018</v>
      </c>
      <c r="F161" s="653">
        <v>0</v>
      </c>
      <c r="G161" s="653">
        <v>0</v>
      </c>
      <c r="H161" s="876">
        <f t="shared" si="37"/>
        <v>0</v>
      </c>
      <c r="J161" s="133"/>
      <c r="K161" s="133"/>
      <c r="L161" s="133"/>
      <c r="M161" s="133"/>
    </row>
    <row r="162" spans="1:13">
      <c r="A162" s="350">
        <f t="shared" si="36"/>
        <v>142</v>
      </c>
      <c r="C162" s="542" t="s">
        <v>136</v>
      </c>
      <c r="D162" s="116" t="s">
        <v>133</v>
      </c>
      <c r="E162" s="632">
        <f t="shared" si="38"/>
        <v>2018</v>
      </c>
      <c r="F162" s="653">
        <v>0</v>
      </c>
      <c r="G162" s="653">
        <v>0</v>
      </c>
      <c r="H162" s="876">
        <f t="shared" si="37"/>
        <v>0</v>
      </c>
      <c r="J162" s="133"/>
      <c r="K162" s="133"/>
      <c r="L162" s="133"/>
      <c r="M162" s="133"/>
    </row>
    <row r="163" spans="1:13">
      <c r="A163" s="350">
        <f t="shared" si="36"/>
        <v>143</v>
      </c>
      <c r="C163" s="542" t="s">
        <v>135</v>
      </c>
      <c r="D163" s="116" t="s">
        <v>133</v>
      </c>
      <c r="E163" s="632">
        <f t="shared" si="38"/>
        <v>2018</v>
      </c>
      <c r="F163" s="653">
        <v>0</v>
      </c>
      <c r="G163" s="653">
        <v>0</v>
      </c>
      <c r="H163" s="876">
        <f t="shared" si="37"/>
        <v>0</v>
      </c>
      <c r="J163" s="133"/>
      <c r="K163" s="133"/>
      <c r="L163" s="133"/>
      <c r="M163" s="133"/>
    </row>
    <row r="164" spans="1:13">
      <c r="A164" s="350">
        <f t="shared" si="36"/>
        <v>144</v>
      </c>
      <c r="C164" s="542" t="s">
        <v>134</v>
      </c>
      <c r="D164" s="116" t="s">
        <v>133</v>
      </c>
      <c r="E164" s="632">
        <f t="shared" si="38"/>
        <v>2018</v>
      </c>
      <c r="F164" s="653">
        <v>0</v>
      </c>
      <c r="G164" s="653">
        <v>0</v>
      </c>
      <c r="H164" s="876">
        <f t="shared" si="37"/>
        <v>0</v>
      </c>
      <c r="J164" s="133"/>
      <c r="K164" s="133"/>
      <c r="L164" s="133"/>
      <c r="M164" s="133"/>
    </row>
    <row r="165" spans="1:13">
      <c r="A165" s="350">
        <f t="shared" si="36"/>
        <v>145</v>
      </c>
      <c r="C165" s="542" t="s">
        <v>132</v>
      </c>
      <c r="D165" s="116" t="s">
        <v>133</v>
      </c>
      <c r="E165" s="632">
        <f t="shared" si="38"/>
        <v>2018</v>
      </c>
      <c r="F165" s="653">
        <v>0</v>
      </c>
      <c r="G165" s="653">
        <v>0</v>
      </c>
      <c r="H165" s="876">
        <f t="shared" si="37"/>
        <v>0</v>
      </c>
      <c r="J165" s="133"/>
      <c r="K165" s="133"/>
      <c r="L165" s="133"/>
      <c r="M165" s="133"/>
    </row>
    <row r="166" spans="1:13">
      <c r="A166" s="350">
        <f t="shared" si="36"/>
        <v>146</v>
      </c>
      <c r="C166" s="542" t="s">
        <v>142</v>
      </c>
      <c r="D166" s="116" t="s">
        <v>133</v>
      </c>
      <c r="E166" s="632">
        <f>+E165+1</f>
        <v>2019</v>
      </c>
      <c r="F166" s="653">
        <v>0</v>
      </c>
      <c r="G166" s="653">
        <v>0</v>
      </c>
      <c r="H166" s="876">
        <f t="shared" si="37"/>
        <v>0</v>
      </c>
      <c r="J166" s="133"/>
      <c r="K166" s="133"/>
      <c r="L166" s="133"/>
      <c r="M166" s="133"/>
    </row>
    <row r="167" spans="1:13">
      <c r="A167" s="350">
        <f t="shared" si="36"/>
        <v>147</v>
      </c>
      <c r="C167" s="542" t="s">
        <v>141</v>
      </c>
      <c r="D167" s="866" t="s">
        <v>291</v>
      </c>
      <c r="E167" s="632">
        <f>+$E$166</f>
        <v>2019</v>
      </c>
      <c r="F167" s="653">
        <v>0</v>
      </c>
      <c r="G167" s="653">
        <v>0</v>
      </c>
      <c r="H167" s="876">
        <f t="shared" si="37"/>
        <v>0</v>
      </c>
      <c r="J167" s="133"/>
      <c r="K167" s="133"/>
      <c r="L167" s="133"/>
      <c r="M167" s="133"/>
    </row>
    <row r="168" spans="1:13">
      <c r="A168" s="350">
        <f t="shared" si="36"/>
        <v>148</v>
      </c>
      <c r="C168" s="542" t="s">
        <v>140</v>
      </c>
      <c r="D168" s="116" t="s">
        <v>133</v>
      </c>
      <c r="E168" s="632">
        <f t="shared" ref="E168:E170" si="39">+$E$166</f>
        <v>2019</v>
      </c>
      <c r="F168" s="653">
        <v>0</v>
      </c>
      <c r="G168" s="653">
        <v>0</v>
      </c>
      <c r="H168" s="876">
        <f t="shared" si="37"/>
        <v>0</v>
      </c>
      <c r="J168" s="133"/>
      <c r="K168" s="133"/>
      <c r="L168" s="133"/>
      <c r="M168" s="133"/>
    </row>
    <row r="169" spans="1:13">
      <c r="A169" s="350">
        <f t="shared" si="36"/>
        <v>149</v>
      </c>
      <c r="C169" s="542" t="s">
        <v>124</v>
      </c>
      <c r="D169" s="116" t="s">
        <v>133</v>
      </c>
      <c r="E169" s="632">
        <f t="shared" si="39"/>
        <v>2019</v>
      </c>
      <c r="F169" s="653">
        <v>0</v>
      </c>
      <c r="G169" s="653">
        <v>0</v>
      </c>
      <c r="H169" s="876">
        <f t="shared" si="37"/>
        <v>0</v>
      </c>
      <c r="I169" s="134"/>
      <c r="J169" s="133"/>
      <c r="K169" s="133"/>
      <c r="L169" s="133"/>
      <c r="M169" s="133"/>
    </row>
    <row r="170" spans="1:13">
      <c r="A170" s="350">
        <f t="shared" si="36"/>
        <v>150</v>
      </c>
      <c r="C170" s="542" t="s">
        <v>123</v>
      </c>
      <c r="D170" s="116" t="s">
        <v>133</v>
      </c>
      <c r="E170" s="632">
        <f t="shared" si="39"/>
        <v>2019</v>
      </c>
      <c r="F170" s="654">
        <v>0</v>
      </c>
      <c r="G170" s="654">
        <v>0</v>
      </c>
      <c r="H170" s="877">
        <f t="shared" si="37"/>
        <v>0</v>
      </c>
    </row>
    <row r="171" spans="1:13">
      <c r="A171" s="350">
        <f t="shared" si="36"/>
        <v>151</v>
      </c>
      <c r="C171" s="543" t="s">
        <v>131</v>
      </c>
      <c r="D171" s="116" t="str">
        <f>"Average of Lines "&amp;A158&amp;"-"&amp;A170&amp;""</f>
        <v>Average of Lines 138-150</v>
      </c>
      <c r="E171" s="868"/>
      <c r="F171" s="643">
        <f>+AVERAGE(F158:F170)</f>
        <v>0</v>
      </c>
      <c r="G171" s="643">
        <f>+AVERAGE(G158:G170)</f>
        <v>0</v>
      </c>
      <c r="H171" s="544">
        <f>+AVERAGE(H158:H170)</f>
        <v>0</v>
      </c>
      <c r="J171" s="133"/>
      <c r="K171" s="133"/>
      <c r="L171" s="133"/>
      <c r="M171" s="133"/>
    </row>
    <row r="172" spans="1:13">
      <c r="A172" s="350"/>
      <c r="C172" s="542"/>
      <c r="E172" s="545"/>
      <c r="F172" s="542"/>
      <c r="G172" s="867"/>
      <c r="H172" s="873"/>
      <c r="I172" s="134"/>
      <c r="J172" s="133"/>
      <c r="K172" s="133"/>
      <c r="L172" s="133"/>
      <c r="M172" s="133"/>
    </row>
    <row r="173" spans="1:13">
      <c r="A173" s="350"/>
      <c r="C173" s="543"/>
      <c r="E173" s="868"/>
      <c r="F173" s="643"/>
      <c r="G173" s="867"/>
      <c r="H173" s="873"/>
      <c r="I173" s="119"/>
      <c r="J173" s="133"/>
      <c r="K173" s="133"/>
      <c r="L173" s="133"/>
      <c r="M173" s="133"/>
    </row>
    <row r="174" spans="1:13" ht="31.5">
      <c r="A174" s="350">
        <f>+A171+1</f>
        <v>152</v>
      </c>
      <c r="C174" s="865" t="s">
        <v>399</v>
      </c>
      <c r="D174" s="870" t="str">
        <f>"Sum of Lines "&amp;A107&amp;", "&amp;A123&amp;", "&amp;A139&amp;", "&amp;A155&amp;", &amp; "&amp;A171&amp;")"</f>
        <v>Sum of Lines 91, 106, 121, 136, &amp; 151)</v>
      </c>
      <c r="E174" s="868"/>
      <c r="F174" s="871">
        <f>F107+F123+F139+F155+F171</f>
        <v>0</v>
      </c>
      <c r="G174" s="871">
        <f>G107+G123+G139+G155+G171</f>
        <v>0</v>
      </c>
      <c r="H174" s="548">
        <f>H107+H123+H139+H155+H171</f>
        <v>0</v>
      </c>
    </row>
    <row r="175" spans="1:13" ht="16.5" thickBot="1">
      <c r="A175" s="549"/>
      <c r="B175" s="550"/>
      <c r="C175" s="551"/>
      <c r="D175" s="155"/>
      <c r="E175" s="552"/>
      <c r="F175" s="551"/>
      <c r="G175" s="874"/>
      <c r="H175" s="875"/>
      <c r="I175" s="119"/>
      <c r="J175" s="133"/>
      <c r="K175" s="133"/>
      <c r="L175" s="133"/>
      <c r="M175" s="133"/>
    </row>
    <row r="176" spans="1:13">
      <c r="B176" s="349"/>
      <c r="C176" s="542"/>
      <c r="E176" s="545"/>
      <c r="F176" s="542"/>
      <c r="G176" s="135"/>
      <c r="H176" s="431"/>
      <c r="I176" s="119"/>
      <c r="J176" s="133"/>
      <c r="K176" s="133"/>
      <c r="L176" s="133"/>
      <c r="M176" s="133"/>
    </row>
  </sheetData>
  <mergeCells count="5">
    <mergeCell ref="A1:F1"/>
    <mergeCell ref="J6:M6"/>
    <mergeCell ref="J92:M92"/>
    <mergeCell ref="A2:F2"/>
    <mergeCell ref="A3:F3"/>
  </mergeCells>
  <phoneticPr fontId="0" type="noConversion"/>
  <printOptions horizontalCentered="1"/>
  <pageMargins left="0.25" right="0.25" top="0.75" bottom="0.75" header="0.5" footer="0.5"/>
  <pageSetup scale="82" fitToHeight="0" orientation="landscape" r:id="rId1"/>
  <headerFooter alignWithMargins="0">
    <oddHeader>&amp;RCompliance Filing Attachment A</oddHeader>
  </headerFooter>
  <rowBreaks count="5" manualBreakCount="5">
    <brk id="37" max="7" man="1"/>
    <brk id="70" max="7" man="1"/>
    <brk id="88" max="7" man="1"/>
    <brk id="123" max="16383" man="1"/>
    <brk id="140"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409D3-B752-4AC0-83B5-3D2B80266B4B}">
  <sheetPr>
    <tabColor rgb="FF92D050"/>
  </sheetPr>
  <dimension ref="A1:AJJ197"/>
  <sheetViews>
    <sheetView zoomScale="90" zoomScaleNormal="90" zoomScaleSheetLayoutView="80" zoomScalePageLayoutView="70" workbookViewId="0">
      <selection sqref="A1:M1"/>
    </sheetView>
  </sheetViews>
  <sheetFormatPr defaultColWidth="8.88671875" defaultRowHeight="12.75"/>
  <cols>
    <col min="1" max="1" width="5" style="119" customWidth="1"/>
    <col min="2" max="2" width="3.21875" style="93" customWidth="1"/>
    <col min="3" max="3" width="48.21875" style="93" customWidth="1"/>
    <col min="4" max="4" width="18.6640625" style="93" customWidth="1"/>
    <col min="5" max="5" width="13.6640625" style="93" customWidth="1"/>
    <col min="6" max="6" width="19.5546875" style="93" customWidth="1"/>
    <col min="7" max="7" width="15.21875" style="93" customWidth="1"/>
    <col min="8" max="8" width="15.5546875" style="93" customWidth="1"/>
    <col min="9" max="9" width="13" style="93" customWidth="1"/>
    <col min="10" max="10" width="10.6640625" style="93" customWidth="1"/>
    <col min="11" max="11" width="9" style="93" customWidth="1"/>
    <col min="12" max="12" width="11.6640625" style="93" bestFit="1" customWidth="1"/>
    <col min="13" max="13" width="9" style="93" customWidth="1"/>
    <col min="14" max="16384" width="8.88671875" style="93"/>
  </cols>
  <sheetData>
    <row r="1" spans="1:16" ht="15.75">
      <c r="A1" s="974" t="s">
        <v>604</v>
      </c>
      <c r="B1" s="974"/>
      <c r="C1" s="974"/>
      <c r="D1" s="974"/>
      <c r="E1" s="974"/>
      <c r="F1" s="974"/>
      <c r="G1" s="974"/>
      <c r="H1" s="974"/>
      <c r="I1" s="974"/>
      <c r="J1" s="974"/>
      <c r="K1" s="974"/>
      <c r="L1" s="974"/>
      <c r="M1" s="974"/>
    </row>
    <row r="2" spans="1:16" ht="18">
      <c r="A2" s="975" t="s">
        <v>312</v>
      </c>
      <c r="B2" s="975"/>
      <c r="C2" s="975"/>
      <c r="D2" s="975"/>
      <c r="E2" s="975"/>
      <c r="F2" s="975"/>
      <c r="G2" s="975"/>
      <c r="H2" s="975"/>
      <c r="I2" s="975"/>
      <c r="J2" s="975"/>
      <c r="K2" s="975"/>
      <c r="L2" s="975"/>
      <c r="M2" s="975"/>
    </row>
    <row r="3" spans="1:16" ht="15.75">
      <c r="A3" s="974" t="str">
        <f>'Appendix A'!$D$9</f>
        <v>HURLEY AVENUE PROJECT - SYSTEM DELIVERABILITY UPGRADE</v>
      </c>
      <c r="B3" s="974"/>
      <c r="C3" s="974"/>
      <c r="D3" s="974"/>
      <c r="E3" s="974"/>
      <c r="F3" s="974"/>
      <c r="G3" s="974"/>
      <c r="H3" s="974"/>
      <c r="I3" s="974"/>
      <c r="J3" s="974"/>
      <c r="K3" s="974"/>
      <c r="L3" s="974"/>
      <c r="M3" s="974"/>
    </row>
    <row r="4" spans="1:16" ht="18">
      <c r="A4" s="137"/>
      <c r="D4" s="624"/>
      <c r="E4" s="624"/>
      <c r="F4" s="624"/>
      <c r="G4" s="624"/>
      <c r="H4" s="624"/>
      <c r="I4" s="624"/>
    </row>
    <row r="5" spans="1:16" ht="18.75" thickBot="1">
      <c r="A5" s="154" t="s">
        <v>517</v>
      </c>
      <c r="D5" s="624"/>
      <c r="E5" s="624"/>
      <c r="F5" s="624"/>
      <c r="G5" s="624"/>
      <c r="H5" s="624"/>
      <c r="I5" s="624"/>
    </row>
    <row r="6" spans="1:16" ht="12.75" customHeight="1" thickBot="1">
      <c r="A6" s="765"/>
      <c r="B6" s="766"/>
      <c r="C6" s="766"/>
      <c r="D6" s="766"/>
      <c r="E6" s="766"/>
      <c r="F6" s="766"/>
      <c r="G6" s="766"/>
      <c r="H6" s="766"/>
      <c r="I6" s="766"/>
      <c r="J6" s="766" t="s">
        <v>109</v>
      </c>
      <c r="K6" s="766"/>
      <c r="L6" s="766"/>
      <c r="M6" s="767"/>
    </row>
    <row r="7" spans="1:16">
      <c r="A7" s="573" t="s">
        <v>466</v>
      </c>
      <c r="B7" s="647"/>
      <c r="C7" s="177"/>
      <c r="D7" s="216"/>
      <c r="E7" s="768" t="s">
        <v>180</v>
      </c>
      <c r="F7" s="769" t="s">
        <v>129</v>
      </c>
      <c r="G7" s="780" t="s">
        <v>181</v>
      </c>
      <c r="H7" s="770" t="s">
        <v>467</v>
      </c>
      <c r="I7" s="176"/>
      <c r="J7" s="648"/>
      <c r="K7" s="554"/>
      <c r="L7" s="554"/>
      <c r="M7" s="555"/>
    </row>
    <row r="8" spans="1:16" s="1" customFormat="1" ht="15">
      <c r="A8" s="175">
        <v>1</v>
      </c>
      <c r="B8" s="775"/>
      <c r="C8" s="775" t="s">
        <v>207</v>
      </c>
      <c r="D8" s="775" t="s">
        <v>52</v>
      </c>
      <c r="E8" s="139">
        <v>0</v>
      </c>
      <c r="F8" s="782">
        <v>0</v>
      </c>
      <c r="G8" s="781">
        <f>+E8/2+F8/2</f>
        <v>0</v>
      </c>
      <c r="H8" s="776">
        <f>+F8-E8</f>
        <v>0</v>
      </c>
      <c r="I8" s="773"/>
      <c r="J8" s="773"/>
      <c r="K8" s="773"/>
      <c r="L8" s="774"/>
      <c r="M8" s="87"/>
      <c r="N8" s="77"/>
      <c r="O8" s="29"/>
      <c r="P8" s="16"/>
    </row>
    <row r="9" spans="1:16" s="1" customFormat="1" ht="15">
      <c r="A9" s="175"/>
      <c r="B9" s="775"/>
      <c r="C9" s="775"/>
      <c r="D9" s="773"/>
      <c r="E9" s="773"/>
      <c r="F9" s="783"/>
      <c r="G9" s="83"/>
      <c r="H9" s="777"/>
      <c r="I9" s="8"/>
      <c r="K9" s="773"/>
      <c r="L9" s="774"/>
      <c r="M9" s="87"/>
      <c r="N9" s="77"/>
      <c r="O9" s="29"/>
      <c r="P9" s="16"/>
    </row>
    <row r="10" spans="1:16" s="1" customFormat="1" ht="15">
      <c r="A10" s="778" t="s">
        <v>516</v>
      </c>
      <c r="B10" s="775"/>
      <c r="E10" s="135"/>
      <c r="F10" s="784"/>
      <c r="G10" s="83"/>
      <c r="H10" s="777"/>
      <c r="I10" s="8"/>
      <c r="J10" s="8"/>
      <c r="K10" s="773"/>
      <c r="L10" s="774"/>
      <c r="M10" s="87"/>
      <c r="N10" s="77"/>
      <c r="O10" s="29"/>
      <c r="P10" s="16"/>
    </row>
    <row r="11" spans="1:16" s="1" customFormat="1" ht="15">
      <c r="A11" s="175"/>
      <c r="B11" s="775"/>
      <c r="C11" s="775" t="s">
        <v>234</v>
      </c>
      <c r="D11" s="775"/>
      <c r="E11" s="641" t="s">
        <v>125</v>
      </c>
      <c r="F11" s="771" t="s">
        <v>122</v>
      </c>
      <c r="G11" s="773"/>
      <c r="H11" s="772"/>
      <c r="I11" s="773"/>
      <c r="J11" s="773"/>
      <c r="K11" s="773"/>
      <c r="L11" s="774"/>
      <c r="M11" s="87"/>
      <c r="N11" s="77"/>
      <c r="O11" s="29"/>
      <c r="P11" s="16"/>
    </row>
    <row r="12" spans="1:16" s="1" customFormat="1" ht="15.75">
      <c r="A12" s="141">
        <f>+A8+1</f>
        <v>2</v>
      </c>
      <c r="B12" s="119"/>
      <c r="C12" s="542" t="s">
        <v>123</v>
      </c>
      <c r="D12" s="116" t="s">
        <v>133</v>
      </c>
      <c r="E12" s="644">
        <v>2018</v>
      </c>
      <c r="F12" s="541">
        <v>0</v>
      </c>
      <c r="H12" s="773"/>
      <c r="I12" s="773"/>
      <c r="J12" s="773"/>
      <c r="K12" s="773"/>
      <c r="L12" s="774"/>
      <c r="M12" s="87"/>
      <c r="N12" s="77"/>
      <c r="O12" s="29"/>
      <c r="P12" s="16"/>
    </row>
    <row r="13" spans="1:16" s="1" customFormat="1" ht="15.75">
      <c r="A13" s="141">
        <f t="shared" ref="A13:A25" si="0">+A12+1</f>
        <v>3</v>
      </c>
      <c r="B13" s="119"/>
      <c r="C13" s="542" t="s">
        <v>139</v>
      </c>
      <c r="D13" s="116" t="s">
        <v>54</v>
      </c>
      <c r="E13" s="646">
        <f>+$E$12</f>
        <v>2018</v>
      </c>
      <c r="F13" s="541">
        <v>0</v>
      </c>
      <c r="I13" s="773"/>
      <c r="J13" s="773"/>
      <c r="K13" s="773"/>
      <c r="L13" s="774"/>
      <c r="M13" s="87"/>
      <c r="N13" s="77"/>
      <c r="O13" s="29"/>
      <c r="P13" s="16"/>
    </row>
    <row r="14" spans="1:16" s="1" customFormat="1" ht="15.75">
      <c r="A14" s="141">
        <f t="shared" si="0"/>
        <v>4</v>
      </c>
      <c r="B14" s="119"/>
      <c r="C14" s="542" t="s">
        <v>138</v>
      </c>
      <c r="D14" s="116" t="s">
        <v>133</v>
      </c>
      <c r="E14" s="646">
        <f t="shared" ref="E14:E19" si="1">+$E$12</f>
        <v>2018</v>
      </c>
      <c r="F14" s="541">
        <v>0</v>
      </c>
      <c r="I14" s="773"/>
      <c r="J14" s="773"/>
      <c r="K14" s="773"/>
      <c r="L14" s="774"/>
      <c r="M14" s="87"/>
      <c r="N14" s="77"/>
      <c r="O14" s="29"/>
      <c r="P14" s="16"/>
    </row>
    <row r="15" spans="1:16" s="1" customFormat="1" ht="15.75">
      <c r="A15" s="141">
        <f t="shared" si="0"/>
        <v>5</v>
      </c>
      <c r="B15" s="119"/>
      <c r="C15" s="542" t="s">
        <v>137</v>
      </c>
      <c r="D15" s="116" t="s">
        <v>133</v>
      </c>
      <c r="E15" s="646">
        <f t="shared" si="1"/>
        <v>2018</v>
      </c>
      <c r="F15" s="541">
        <v>0</v>
      </c>
      <c r="I15" s="773"/>
      <c r="J15" s="773"/>
      <c r="K15" s="773"/>
      <c r="L15" s="774"/>
      <c r="M15" s="87"/>
      <c r="N15" s="77"/>
      <c r="O15" s="29"/>
      <c r="P15" s="16"/>
    </row>
    <row r="16" spans="1:16" s="1" customFormat="1" ht="15.75">
      <c r="A16" s="141">
        <f t="shared" si="0"/>
        <v>6</v>
      </c>
      <c r="B16" s="119"/>
      <c r="C16" s="542" t="s">
        <v>136</v>
      </c>
      <c r="D16" s="116" t="s">
        <v>54</v>
      </c>
      <c r="E16" s="646">
        <f t="shared" si="1"/>
        <v>2018</v>
      </c>
      <c r="F16" s="541">
        <v>0</v>
      </c>
      <c r="I16" s="773"/>
      <c r="J16" s="773"/>
      <c r="K16" s="773"/>
      <c r="L16" s="774"/>
      <c r="M16" s="87"/>
      <c r="N16" s="77"/>
      <c r="O16" s="29"/>
      <c r="P16" s="16"/>
    </row>
    <row r="17" spans="1:16" s="1" customFormat="1" ht="15.75">
      <c r="A17" s="141">
        <f t="shared" si="0"/>
        <v>7</v>
      </c>
      <c r="B17" s="119"/>
      <c r="C17" s="542" t="s">
        <v>135</v>
      </c>
      <c r="D17" s="116" t="s">
        <v>133</v>
      </c>
      <c r="E17" s="646">
        <f t="shared" si="1"/>
        <v>2018</v>
      </c>
      <c r="F17" s="541">
        <v>0</v>
      </c>
      <c r="I17" s="773"/>
      <c r="J17" s="773"/>
      <c r="K17" s="773"/>
      <c r="L17" s="774"/>
      <c r="M17" s="87"/>
      <c r="N17" s="77"/>
      <c r="O17" s="29"/>
      <c r="P17" s="16"/>
    </row>
    <row r="18" spans="1:16" s="1" customFormat="1" ht="15.75">
      <c r="A18" s="141">
        <f t="shared" si="0"/>
        <v>8</v>
      </c>
      <c r="B18" s="119"/>
      <c r="C18" s="542" t="s">
        <v>134</v>
      </c>
      <c r="D18" s="116" t="s">
        <v>133</v>
      </c>
      <c r="E18" s="646">
        <f t="shared" si="1"/>
        <v>2018</v>
      </c>
      <c r="F18" s="541">
        <v>0</v>
      </c>
      <c r="I18" s="773"/>
      <c r="J18" s="773"/>
      <c r="K18" s="773"/>
      <c r="L18" s="774"/>
      <c r="M18" s="87"/>
      <c r="N18" s="77"/>
      <c r="O18" s="29"/>
      <c r="P18" s="16"/>
    </row>
    <row r="19" spans="1:16" s="1" customFormat="1" ht="15.75">
      <c r="A19" s="141">
        <f t="shared" si="0"/>
        <v>9</v>
      </c>
      <c r="B19" s="119"/>
      <c r="C19" s="542" t="s">
        <v>132</v>
      </c>
      <c r="D19" s="116" t="s">
        <v>54</v>
      </c>
      <c r="E19" s="646">
        <f t="shared" si="1"/>
        <v>2018</v>
      </c>
      <c r="F19" s="541">
        <v>0</v>
      </c>
      <c r="I19" s="773"/>
      <c r="J19" s="773"/>
      <c r="K19" s="773"/>
      <c r="L19" s="774"/>
      <c r="M19" s="87"/>
      <c r="N19" s="77"/>
      <c r="O19" s="29"/>
      <c r="P19" s="16"/>
    </row>
    <row r="20" spans="1:16" s="1" customFormat="1" ht="15.75">
      <c r="A20" s="141">
        <f t="shared" si="0"/>
        <v>10</v>
      </c>
      <c r="B20" s="119"/>
      <c r="C20" s="542" t="s">
        <v>142</v>
      </c>
      <c r="D20" s="116" t="s">
        <v>133</v>
      </c>
      <c r="E20" s="646">
        <f>+E19+1</f>
        <v>2019</v>
      </c>
      <c r="F20" s="541">
        <v>0</v>
      </c>
      <c r="I20" s="773"/>
      <c r="J20" s="773"/>
      <c r="K20" s="773"/>
      <c r="L20" s="774"/>
      <c r="M20" s="87"/>
      <c r="N20" s="77"/>
      <c r="O20" s="29"/>
      <c r="P20" s="16"/>
    </row>
    <row r="21" spans="1:16" s="1" customFormat="1" ht="15.75">
      <c r="A21" s="141">
        <f t="shared" si="0"/>
        <v>11</v>
      </c>
      <c r="B21" s="119"/>
      <c r="C21" s="542" t="s">
        <v>141</v>
      </c>
      <c r="D21" s="116" t="s">
        <v>133</v>
      </c>
      <c r="E21" s="646">
        <f>+$E$20</f>
        <v>2019</v>
      </c>
      <c r="F21" s="541">
        <v>0</v>
      </c>
      <c r="I21" s="773"/>
      <c r="J21" s="773"/>
      <c r="K21" s="773"/>
      <c r="L21" s="774"/>
      <c r="M21" s="87"/>
      <c r="N21" s="77"/>
      <c r="O21" s="29"/>
      <c r="P21" s="16"/>
    </row>
    <row r="22" spans="1:16" s="1" customFormat="1" ht="15.75">
      <c r="A22" s="141">
        <f t="shared" si="0"/>
        <v>12</v>
      </c>
      <c r="B22" s="119"/>
      <c r="C22" s="542" t="s">
        <v>140</v>
      </c>
      <c r="D22" s="116" t="s">
        <v>54</v>
      </c>
      <c r="E22" s="646">
        <f t="shared" ref="E22:E24" si="2">+$E$20</f>
        <v>2019</v>
      </c>
      <c r="F22" s="541">
        <v>0</v>
      </c>
      <c r="I22" s="773"/>
      <c r="J22" s="773"/>
      <c r="K22" s="773"/>
      <c r="L22" s="774"/>
      <c r="M22" s="87"/>
      <c r="N22" s="77"/>
      <c r="O22" s="29"/>
      <c r="P22" s="16"/>
    </row>
    <row r="23" spans="1:16" s="1" customFormat="1" ht="15.75">
      <c r="A23" s="141">
        <f t="shared" si="0"/>
        <v>13</v>
      </c>
      <c r="B23" s="119"/>
      <c r="C23" s="542" t="s">
        <v>124</v>
      </c>
      <c r="D23" s="116" t="s">
        <v>133</v>
      </c>
      <c r="E23" s="646">
        <f t="shared" si="2"/>
        <v>2019</v>
      </c>
      <c r="F23" s="541">
        <v>0</v>
      </c>
      <c r="I23" s="773"/>
      <c r="J23" s="773"/>
      <c r="K23" s="773"/>
      <c r="L23" s="774"/>
      <c r="M23" s="87"/>
      <c r="N23" s="77"/>
      <c r="O23" s="29"/>
      <c r="P23" s="16"/>
    </row>
    <row r="24" spans="1:16" s="1" customFormat="1" ht="15.75">
      <c r="A24" s="141">
        <f t="shared" si="0"/>
        <v>14</v>
      </c>
      <c r="B24" s="119"/>
      <c r="C24" s="542" t="s">
        <v>123</v>
      </c>
      <c r="D24" s="116" t="s">
        <v>133</v>
      </c>
      <c r="E24" s="646">
        <f t="shared" si="2"/>
        <v>2019</v>
      </c>
      <c r="F24" s="634">
        <v>0</v>
      </c>
      <c r="I24" s="773"/>
      <c r="J24" s="773"/>
      <c r="K24" s="773"/>
      <c r="L24" s="774"/>
      <c r="M24" s="87"/>
      <c r="N24" s="77"/>
      <c r="O24" s="29"/>
      <c r="P24" s="16"/>
    </row>
    <row r="25" spans="1:16" s="1" customFormat="1" ht="15.75">
      <c r="A25" s="141">
        <f t="shared" si="0"/>
        <v>15</v>
      </c>
      <c r="B25" s="119"/>
      <c r="C25" s="154" t="s">
        <v>289</v>
      </c>
      <c r="D25" s="116" t="str">
        <f>"Average of Lines "&amp;A12&amp;"-"&amp;A24&amp;""</f>
        <v>Average of Lines 2-14</v>
      </c>
      <c r="E25" s="134"/>
      <c r="F25" s="544">
        <f>+AVERAGE(F12:F24)</f>
        <v>0</v>
      </c>
      <c r="I25" s="773"/>
      <c r="J25" s="773"/>
      <c r="K25" s="773"/>
      <c r="L25" s="774"/>
      <c r="M25" s="87"/>
      <c r="N25" s="77"/>
      <c r="O25" s="29"/>
      <c r="P25" s="16"/>
    </row>
    <row r="26" spans="1:16" s="1" customFormat="1" ht="15">
      <c r="A26" s="175"/>
      <c r="B26" s="775"/>
      <c r="C26" s="775"/>
      <c r="D26" s="775"/>
      <c r="E26" s="773"/>
      <c r="F26" s="783"/>
      <c r="G26" s="773"/>
      <c r="H26" s="772"/>
      <c r="I26" s="773"/>
      <c r="J26" s="773"/>
      <c r="K26" s="773"/>
      <c r="L26" s="774"/>
      <c r="M26" s="87"/>
      <c r="N26" s="77"/>
      <c r="O26" s="29"/>
      <c r="P26" s="16"/>
    </row>
    <row r="27" spans="1:16" ht="13.5" thickBot="1">
      <c r="A27" s="131"/>
      <c r="B27" s="147"/>
      <c r="C27" s="649"/>
      <c r="D27" s="130"/>
      <c r="E27" s="650"/>
      <c r="F27" s="129"/>
      <c r="G27" s="779"/>
      <c r="H27" s="174"/>
      <c r="I27" s="171"/>
      <c r="J27" s="651"/>
      <c r="K27" s="409"/>
      <c r="L27" s="409"/>
      <c r="M27" s="410"/>
    </row>
    <row r="28" spans="1:16">
      <c r="A28" s="173"/>
      <c r="B28" s="150"/>
      <c r="C28" s="150"/>
      <c r="D28" s="150"/>
      <c r="F28" s="652"/>
      <c r="G28" s="128"/>
      <c r="H28" s="142"/>
      <c r="I28" s="172"/>
      <c r="J28" s="623"/>
      <c r="K28" s="133"/>
      <c r="L28" s="133"/>
      <c r="M28" s="133"/>
    </row>
    <row r="29" spans="1:16">
      <c r="B29" s="119"/>
      <c r="C29" s="154"/>
      <c r="E29" s="119"/>
      <c r="F29" s="140"/>
      <c r="G29" s="134"/>
      <c r="H29" s="134"/>
      <c r="I29" s="134"/>
      <c r="J29" s="133"/>
      <c r="K29" s="133"/>
      <c r="L29" s="133"/>
      <c r="M29" s="133"/>
    </row>
    <row r="30" spans="1:16" ht="12" customHeight="1"/>
    <row r="31" spans="1:16" ht="13.5" thickBot="1">
      <c r="A31" s="154" t="s">
        <v>235</v>
      </c>
    </row>
    <row r="32" spans="1:16" ht="13.5" thickBot="1">
      <c r="A32" s="978"/>
      <c r="B32" s="979"/>
      <c r="C32" s="979"/>
      <c r="D32" s="979"/>
      <c r="E32" s="979"/>
      <c r="F32" s="979"/>
      <c r="G32" s="178"/>
      <c r="H32" s="178"/>
      <c r="I32" s="178"/>
      <c r="J32" s="980"/>
      <c r="K32" s="981"/>
      <c r="L32" s="981"/>
      <c r="M32" s="982"/>
    </row>
    <row r="33" spans="1:13">
      <c r="A33" s="141"/>
      <c r="B33" s="153"/>
      <c r="C33" s="655" t="s">
        <v>294</v>
      </c>
      <c r="D33" s="655" t="s">
        <v>304</v>
      </c>
      <c r="E33" s="655" t="s">
        <v>306</v>
      </c>
      <c r="F33" s="655" t="s">
        <v>307</v>
      </c>
      <c r="G33" s="655" t="s">
        <v>308</v>
      </c>
      <c r="H33" s="655" t="s">
        <v>309</v>
      </c>
      <c r="I33" s="655" t="s">
        <v>310</v>
      </c>
      <c r="J33" s="965"/>
      <c r="K33" s="949"/>
      <c r="L33" s="949"/>
      <c r="M33" s="966"/>
    </row>
    <row r="34" spans="1:13" ht="76.5">
      <c r="A34" s="141"/>
      <c r="B34"/>
      <c r="C34" s="636" t="s">
        <v>518</v>
      </c>
      <c r="D34" s="637" t="s">
        <v>519</v>
      </c>
      <c r="E34" s="637" t="s">
        <v>336</v>
      </c>
      <c r="F34" s="637" t="s">
        <v>337</v>
      </c>
      <c r="G34" s="637" t="s">
        <v>338</v>
      </c>
      <c r="H34" s="638" t="s">
        <v>339</v>
      </c>
      <c r="I34" s="638" t="str">
        <f>"Amount Allocated: Col. "&amp;E33&amp;" * Col. "&amp;F33&amp;" * Col. "&amp;G33&amp;" * Col. "&amp;H33&amp;""</f>
        <v>Amount Allocated: Col. (d) * Col. (e) * Col. (f) * Col. (g)</v>
      </c>
      <c r="J34"/>
      <c r="K34" s="218"/>
      <c r="L34" s="218"/>
      <c r="M34" s="221"/>
    </row>
    <row r="35" spans="1:13" ht="15">
      <c r="A35" s="141">
        <f>+A25+1</f>
        <v>16</v>
      </c>
      <c r="B35"/>
      <c r="C35" s="656" t="s">
        <v>439</v>
      </c>
      <c r="D35" s="433">
        <f>+E63</f>
        <v>0</v>
      </c>
      <c r="E35" s="433">
        <v>1</v>
      </c>
      <c r="F35" s="433">
        <v>1</v>
      </c>
      <c r="G35" s="639">
        <v>1</v>
      </c>
      <c r="H35" s="440">
        <f>+'Appendix A'!J232</f>
        <v>0</v>
      </c>
      <c r="I35" s="434">
        <f>+H35*E35*D35*F35*G35</f>
        <v>0</v>
      </c>
      <c r="J35"/>
      <c r="K35" s="218"/>
      <c r="L35" s="218"/>
      <c r="M35" s="221"/>
    </row>
    <row r="36" spans="1:13" ht="15">
      <c r="A36" s="141">
        <f>+A35+1</f>
        <v>17</v>
      </c>
      <c r="B36"/>
      <c r="C36" s="656" t="s">
        <v>236</v>
      </c>
      <c r="D36" s="435">
        <v>0</v>
      </c>
      <c r="E36" s="435">
        <v>0</v>
      </c>
      <c r="F36" s="435">
        <v>0</v>
      </c>
      <c r="G36" s="435">
        <v>0</v>
      </c>
      <c r="H36" s="435">
        <v>0</v>
      </c>
      <c r="I36" s="434">
        <f t="shared" ref="I36:I40" si="3">+H36*E36*D36*F36*G36</f>
        <v>0</v>
      </c>
      <c r="J36"/>
      <c r="K36" s="218"/>
      <c r="L36" s="218"/>
      <c r="M36" s="221"/>
    </row>
    <row r="37" spans="1:13" ht="15">
      <c r="A37" s="141">
        <f t="shared" ref="A37:A41" si="4">+A36+1</f>
        <v>18</v>
      </c>
      <c r="B37"/>
      <c r="C37" s="656" t="s">
        <v>237</v>
      </c>
      <c r="D37" s="435">
        <v>0</v>
      </c>
      <c r="E37" s="435">
        <v>0</v>
      </c>
      <c r="F37" s="435">
        <v>0</v>
      </c>
      <c r="G37" s="435">
        <v>0</v>
      </c>
      <c r="H37" s="435">
        <v>0</v>
      </c>
      <c r="I37" s="434">
        <f t="shared" si="3"/>
        <v>0</v>
      </c>
      <c r="J37"/>
      <c r="K37" s="218"/>
      <c r="L37" s="218"/>
      <c r="M37" s="221"/>
    </row>
    <row r="38" spans="1:13" ht="15">
      <c r="A38" s="141">
        <f t="shared" si="4"/>
        <v>19</v>
      </c>
      <c r="B38"/>
      <c r="C38" s="656" t="s">
        <v>275</v>
      </c>
      <c r="D38" s="435">
        <v>0</v>
      </c>
      <c r="E38" s="435">
        <v>0</v>
      </c>
      <c r="F38" s="435">
        <v>0</v>
      </c>
      <c r="G38" s="435">
        <v>0</v>
      </c>
      <c r="H38" s="435">
        <v>0</v>
      </c>
      <c r="I38" s="434">
        <f t="shared" si="3"/>
        <v>0</v>
      </c>
      <c r="J38"/>
      <c r="K38" s="218"/>
      <c r="L38" s="218"/>
      <c r="M38" s="221"/>
    </row>
    <row r="39" spans="1:13" ht="15">
      <c r="A39" s="141">
        <f t="shared" si="4"/>
        <v>20</v>
      </c>
      <c r="B39"/>
      <c r="C39" s="656" t="s">
        <v>276</v>
      </c>
      <c r="D39" s="435">
        <v>0</v>
      </c>
      <c r="E39" s="435">
        <v>0</v>
      </c>
      <c r="F39" s="435">
        <v>0</v>
      </c>
      <c r="G39" s="435">
        <v>0</v>
      </c>
      <c r="H39" s="435">
        <v>0</v>
      </c>
      <c r="I39" s="434">
        <f t="shared" si="3"/>
        <v>0</v>
      </c>
      <c r="J39"/>
      <c r="K39" s="218"/>
      <c r="L39" s="218"/>
      <c r="M39" s="221"/>
    </row>
    <row r="40" spans="1:13" ht="15">
      <c r="A40" s="141">
        <f t="shared" si="4"/>
        <v>21</v>
      </c>
      <c r="B40"/>
      <c r="C40" s="436" t="s">
        <v>276</v>
      </c>
      <c r="D40" s="437">
        <v>0</v>
      </c>
      <c r="E40" s="437">
        <v>0</v>
      </c>
      <c r="F40" s="437">
        <v>0</v>
      </c>
      <c r="G40" s="437">
        <v>0</v>
      </c>
      <c r="H40" s="437">
        <v>0</v>
      </c>
      <c r="I40" s="438">
        <f t="shared" si="3"/>
        <v>0</v>
      </c>
      <c r="J40"/>
      <c r="K40" s="218"/>
      <c r="L40" s="218"/>
      <c r="M40" s="221"/>
    </row>
    <row r="41" spans="1:13" ht="15">
      <c r="A41" s="141">
        <f t="shared" si="4"/>
        <v>22</v>
      </c>
      <c r="B41"/>
      <c r="C41" s="657" t="s">
        <v>35</v>
      </c>
      <c r="D41" s="439"/>
      <c r="E41" s="440"/>
      <c r="F41" s="658"/>
      <c r="G41" s="658"/>
      <c r="H41" s="440"/>
      <c r="I41" s="434">
        <f>SUM(I35:I40)</f>
        <v>0</v>
      </c>
      <c r="J41"/>
      <c r="K41" s="218"/>
      <c r="L41" s="218"/>
      <c r="M41" s="221"/>
    </row>
    <row r="42" spans="1:13" ht="15">
      <c r="A42" s="141"/>
      <c r="B42"/>
      <c r="C42" s="657"/>
      <c r="D42" s="439"/>
      <c r="E42" s="440"/>
      <c r="F42" s="658"/>
      <c r="G42" s="658"/>
      <c r="H42" s="440"/>
      <c r="I42" s="434"/>
      <c r="J42"/>
      <c r="K42" s="218"/>
      <c r="L42" s="218"/>
      <c r="M42" s="221"/>
    </row>
    <row r="43" spans="1:13" ht="15">
      <c r="A43" s="141"/>
      <c r="B43"/>
      <c r="C43" s="983" t="s">
        <v>520</v>
      </c>
      <c r="D43" s="984"/>
      <c r="E43" s="984"/>
      <c r="F43" s="984"/>
      <c r="G43" s="984"/>
      <c r="H43" s="984"/>
      <c r="I43" s="984"/>
      <c r="J43" s="984"/>
      <c r="K43" s="218"/>
      <c r="L43" s="218"/>
      <c r="M43" s="221"/>
    </row>
    <row r="44" spans="1:13" ht="15">
      <c r="A44" s="141"/>
      <c r="B44"/>
      <c r="C44" s="984"/>
      <c r="D44" s="984"/>
      <c r="E44" s="984"/>
      <c r="F44" s="984"/>
      <c r="G44" s="984"/>
      <c r="H44" s="984"/>
      <c r="I44" s="984"/>
      <c r="J44" s="984"/>
      <c r="K44" s="218"/>
      <c r="L44" s="218"/>
      <c r="M44" s="221"/>
    </row>
    <row r="45" spans="1:13" ht="15">
      <c r="A45" s="141"/>
      <c r="B45"/>
      <c r="C45" s="984"/>
      <c r="D45" s="984"/>
      <c r="E45" s="984"/>
      <c r="F45" s="984"/>
      <c r="G45" s="984"/>
      <c r="H45" s="984"/>
      <c r="I45" s="984"/>
      <c r="J45" s="984"/>
      <c r="K45" s="218"/>
      <c r="L45" s="218"/>
      <c r="M45" s="221"/>
    </row>
    <row r="46" spans="1:13" ht="15">
      <c r="A46" s="141"/>
      <c r="B46"/>
      <c r="C46" s="984"/>
      <c r="D46" s="984"/>
      <c r="E46" s="984"/>
      <c r="F46" s="984"/>
      <c r="G46" s="984"/>
      <c r="H46" s="984"/>
      <c r="I46" s="984"/>
      <c r="J46" s="984"/>
      <c r="K46" s="218"/>
      <c r="L46" s="218"/>
      <c r="M46" s="221"/>
    </row>
    <row r="47" spans="1:13" ht="31.5" customHeight="1">
      <c r="A47" s="141"/>
      <c r="B47"/>
      <c r="C47" s="984"/>
      <c r="D47" s="984"/>
      <c r="E47" s="984"/>
      <c r="F47" s="984"/>
      <c r="G47" s="984"/>
      <c r="H47" s="984"/>
      <c r="I47" s="984"/>
      <c r="J47" s="984"/>
      <c r="K47" s="218"/>
      <c r="L47" s="218"/>
      <c r="M47" s="221"/>
    </row>
    <row r="48" spans="1:13" ht="21.75" customHeight="1">
      <c r="A48" s="141"/>
      <c r="B48"/>
      <c r="C48" s="642"/>
      <c r="E48" s="642"/>
      <c r="F48" s="642"/>
      <c r="G48" s="642"/>
      <c r="H48" s="642"/>
      <c r="I48" s="642"/>
      <c r="J48" s="642"/>
      <c r="K48" s="218"/>
      <c r="L48" s="218"/>
      <c r="M48" s="221"/>
    </row>
    <row r="49" spans="1:13" ht="21" customHeight="1">
      <c r="A49" s="141"/>
      <c r="B49"/>
      <c r="C49" s="636" t="s">
        <v>521</v>
      </c>
      <c r="D49" s="641" t="s">
        <v>125</v>
      </c>
      <c r="E49" s="636" t="s">
        <v>522</v>
      </c>
      <c r="F49" s="636" t="s">
        <v>236</v>
      </c>
      <c r="G49" s="636" t="s">
        <v>237</v>
      </c>
      <c r="H49" s="636" t="s">
        <v>275</v>
      </c>
      <c r="I49" s="640"/>
      <c r="J49" s="640"/>
      <c r="K49" s="218"/>
      <c r="L49" s="218"/>
      <c r="M49" s="221"/>
    </row>
    <row r="50" spans="1:13" ht="16.5" customHeight="1">
      <c r="A50" s="141">
        <f>+A41+1</f>
        <v>23</v>
      </c>
      <c r="B50"/>
      <c r="C50" s="542" t="s">
        <v>123</v>
      </c>
      <c r="D50" s="888">
        <f>+E12</f>
        <v>2018</v>
      </c>
      <c r="E50" s="653">
        <v>0</v>
      </c>
      <c r="F50" s="653">
        <v>0</v>
      </c>
      <c r="G50" s="653">
        <v>0</v>
      </c>
      <c r="H50" s="653">
        <v>0</v>
      </c>
      <c r="I50" s="653">
        <v>0</v>
      </c>
      <c r="J50" s="653">
        <v>0</v>
      </c>
      <c r="K50" s="218"/>
      <c r="L50" s="218"/>
      <c r="M50" s="221"/>
    </row>
    <row r="51" spans="1:13" ht="17.25" customHeight="1">
      <c r="A51" s="141">
        <f>+A50+1</f>
        <v>24</v>
      </c>
      <c r="B51"/>
      <c r="C51" s="542" t="s">
        <v>139</v>
      </c>
      <c r="D51" s="645">
        <f>+$D$50</f>
        <v>2018</v>
      </c>
      <c r="E51" s="653">
        <v>0</v>
      </c>
      <c r="F51" s="653">
        <v>0</v>
      </c>
      <c r="G51" s="653">
        <v>0</v>
      </c>
      <c r="H51" s="653">
        <v>0</v>
      </c>
      <c r="I51" s="653">
        <v>0</v>
      </c>
      <c r="J51" s="653">
        <v>0</v>
      </c>
      <c r="K51" s="218"/>
      <c r="L51" s="218"/>
      <c r="M51" s="221"/>
    </row>
    <row r="52" spans="1:13" ht="17.25" customHeight="1">
      <c r="A52" s="141">
        <f t="shared" ref="A52:A63" si="5">+A51+1</f>
        <v>25</v>
      </c>
      <c r="B52"/>
      <c r="C52" s="542" t="s">
        <v>138</v>
      </c>
      <c r="D52" s="645">
        <f t="shared" ref="D52:D57" si="6">+$D$50</f>
        <v>2018</v>
      </c>
      <c r="E52" s="653">
        <v>0</v>
      </c>
      <c r="F52" s="653">
        <v>0</v>
      </c>
      <c r="G52" s="653">
        <v>0</v>
      </c>
      <c r="H52" s="653">
        <v>0</v>
      </c>
      <c r="I52" s="653">
        <v>0</v>
      </c>
      <c r="J52" s="653">
        <v>0</v>
      </c>
      <c r="K52" s="218"/>
      <c r="L52" s="218"/>
      <c r="M52" s="221"/>
    </row>
    <row r="53" spans="1:13" ht="17.25" customHeight="1">
      <c r="A53" s="141">
        <f t="shared" si="5"/>
        <v>26</v>
      </c>
      <c r="B53"/>
      <c r="C53" s="542" t="s">
        <v>137</v>
      </c>
      <c r="D53" s="645">
        <f t="shared" si="6"/>
        <v>2018</v>
      </c>
      <c r="E53" s="653">
        <v>0</v>
      </c>
      <c r="F53" s="653">
        <v>0</v>
      </c>
      <c r="G53" s="653">
        <v>0</v>
      </c>
      <c r="H53" s="653">
        <v>0</v>
      </c>
      <c r="I53" s="653">
        <v>0</v>
      </c>
      <c r="J53" s="653">
        <v>0</v>
      </c>
      <c r="K53" s="218"/>
      <c r="L53" s="218"/>
      <c r="M53" s="221"/>
    </row>
    <row r="54" spans="1:13" ht="17.25" customHeight="1">
      <c r="A54" s="141">
        <f t="shared" si="5"/>
        <v>27</v>
      </c>
      <c r="B54"/>
      <c r="C54" s="542" t="s">
        <v>136</v>
      </c>
      <c r="D54" s="645">
        <f t="shared" si="6"/>
        <v>2018</v>
      </c>
      <c r="E54" s="653">
        <v>0</v>
      </c>
      <c r="F54" s="653">
        <v>0</v>
      </c>
      <c r="G54" s="653">
        <v>0</v>
      </c>
      <c r="H54" s="653">
        <v>0</v>
      </c>
      <c r="I54" s="653">
        <v>0</v>
      </c>
      <c r="J54" s="653">
        <v>0</v>
      </c>
      <c r="K54" s="218"/>
      <c r="L54" s="218"/>
      <c r="M54" s="221"/>
    </row>
    <row r="55" spans="1:13" ht="17.25" customHeight="1">
      <c r="A55" s="141">
        <f t="shared" si="5"/>
        <v>28</v>
      </c>
      <c r="B55"/>
      <c r="C55" s="542" t="s">
        <v>135</v>
      </c>
      <c r="D55" s="645">
        <f t="shared" si="6"/>
        <v>2018</v>
      </c>
      <c r="E55" s="653">
        <v>0</v>
      </c>
      <c r="F55" s="653">
        <v>0</v>
      </c>
      <c r="G55" s="653">
        <v>0</v>
      </c>
      <c r="H55" s="653">
        <v>0</v>
      </c>
      <c r="I55" s="653">
        <v>0</v>
      </c>
      <c r="J55" s="653">
        <v>0</v>
      </c>
      <c r="K55" s="218"/>
      <c r="L55" s="218"/>
      <c r="M55" s="221"/>
    </row>
    <row r="56" spans="1:13" ht="17.25" customHeight="1">
      <c r="A56" s="141">
        <f t="shared" si="5"/>
        <v>29</v>
      </c>
      <c r="B56"/>
      <c r="C56" s="542" t="s">
        <v>134</v>
      </c>
      <c r="D56" s="645">
        <f t="shared" si="6"/>
        <v>2018</v>
      </c>
      <c r="E56" s="653">
        <v>0</v>
      </c>
      <c r="F56" s="653">
        <v>0</v>
      </c>
      <c r="G56" s="653">
        <v>0</v>
      </c>
      <c r="H56" s="653">
        <v>0</v>
      </c>
      <c r="I56" s="653">
        <v>0</v>
      </c>
      <c r="J56" s="653">
        <v>0</v>
      </c>
      <c r="K56" s="218"/>
      <c r="L56" s="218"/>
      <c r="M56" s="221"/>
    </row>
    <row r="57" spans="1:13" ht="17.25" customHeight="1">
      <c r="A57" s="141">
        <f t="shared" si="5"/>
        <v>30</v>
      </c>
      <c r="B57"/>
      <c r="C57" s="542" t="s">
        <v>132</v>
      </c>
      <c r="D57" s="645">
        <f t="shared" si="6"/>
        <v>2018</v>
      </c>
      <c r="E57" s="653">
        <v>0</v>
      </c>
      <c r="F57" s="653">
        <v>0</v>
      </c>
      <c r="G57" s="653">
        <v>0</v>
      </c>
      <c r="H57" s="653">
        <v>0</v>
      </c>
      <c r="I57" s="653">
        <v>0</v>
      </c>
      <c r="J57" s="653">
        <v>0</v>
      </c>
      <c r="K57" s="218"/>
      <c r="L57" s="218"/>
      <c r="M57" s="221"/>
    </row>
    <row r="58" spans="1:13" ht="17.25" customHeight="1">
      <c r="A58" s="141">
        <f t="shared" si="5"/>
        <v>31</v>
      </c>
      <c r="B58"/>
      <c r="C58" s="542" t="s">
        <v>142</v>
      </c>
      <c r="D58" s="646">
        <f>+D57+1</f>
        <v>2019</v>
      </c>
      <c r="E58" s="653">
        <v>0</v>
      </c>
      <c r="F58" s="653">
        <v>0</v>
      </c>
      <c r="G58" s="653">
        <v>0</v>
      </c>
      <c r="H58" s="653">
        <v>0</v>
      </c>
      <c r="I58" s="653">
        <v>0</v>
      </c>
      <c r="J58" s="653">
        <v>0</v>
      </c>
      <c r="K58" s="218"/>
      <c r="L58" s="218"/>
      <c r="M58" s="221"/>
    </row>
    <row r="59" spans="1:13" ht="17.25" customHeight="1">
      <c r="A59" s="141">
        <f t="shared" si="5"/>
        <v>32</v>
      </c>
      <c r="B59"/>
      <c r="C59" s="542" t="s">
        <v>141</v>
      </c>
      <c r="D59" s="645">
        <f>+$D$58</f>
        <v>2019</v>
      </c>
      <c r="E59" s="653">
        <v>0</v>
      </c>
      <c r="F59" s="653">
        <v>0</v>
      </c>
      <c r="G59" s="653">
        <v>0</v>
      </c>
      <c r="H59" s="653">
        <v>0</v>
      </c>
      <c r="I59" s="653">
        <v>0</v>
      </c>
      <c r="J59" s="653">
        <v>0</v>
      </c>
      <c r="K59" s="218"/>
      <c r="L59" s="218"/>
      <c r="M59" s="221"/>
    </row>
    <row r="60" spans="1:13" ht="17.25" customHeight="1">
      <c r="A60" s="141">
        <f t="shared" si="5"/>
        <v>33</v>
      </c>
      <c r="B60"/>
      <c r="C60" s="542" t="s">
        <v>140</v>
      </c>
      <c r="D60" s="645">
        <f t="shared" ref="D60:D62" si="7">+$D$58</f>
        <v>2019</v>
      </c>
      <c r="E60" s="653">
        <v>0</v>
      </c>
      <c r="F60" s="653">
        <v>0</v>
      </c>
      <c r="G60" s="653">
        <v>0</v>
      </c>
      <c r="H60" s="653">
        <v>0</v>
      </c>
      <c r="I60" s="653">
        <v>0</v>
      </c>
      <c r="J60" s="653">
        <v>0</v>
      </c>
      <c r="K60" s="218"/>
      <c r="L60" s="218"/>
      <c r="M60" s="221"/>
    </row>
    <row r="61" spans="1:13" ht="17.25" customHeight="1">
      <c r="A61" s="141">
        <f t="shared" si="5"/>
        <v>34</v>
      </c>
      <c r="B61"/>
      <c r="C61" s="542" t="s">
        <v>124</v>
      </c>
      <c r="D61" s="645">
        <f t="shared" si="7"/>
        <v>2019</v>
      </c>
      <c r="E61" s="653">
        <v>0</v>
      </c>
      <c r="F61" s="653">
        <v>0</v>
      </c>
      <c r="G61" s="653">
        <v>0</v>
      </c>
      <c r="H61" s="653">
        <v>0</v>
      </c>
      <c r="I61" s="653">
        <v>0</v>
      </c>
      <c r="J61" s="653">
        <v>0</v>
      </c>
      <c r="K61" s="218"/>
      <c r="L61" s="218"/>
      <c r="M61" s="221"/>
    </row>
    <row r="62" spans="1:13" ht="17.25" customHeight="1">
      <c r="A62" s="141">
        <f t="shared" si="5"/>
        <v>35</v>
      </c>
      <c r="B62"/>
      <c r="C62" s="542" t="s">
        <v>123</v>
      </c>
      <c r="D62" s="645">
        <f t="shared" si="7"/>
        <v>2019</v>
      </c>
      <c r="E62" s="654">
        <v>0</v>
      </c>
      <c r="F62" s="654">
        <v>0</v>
      </c>
      <c r="G62" s="654">
        <v>0</v>
      </c>
      <c r="H62" s="654">
        <v>0</v>
      </c>
      <c r="I62" s="654">
        <v>0</v>
      </c>
      <c r="J62" s="654">
        <v>0</v>
      </c>
      <c r="K62" s="218"/>
      <c r="L62" s="218"/>
      <c r="M62" s="221"/>
    </row>
    <row r="63" spans="1:13" ht="17.25" customHeight="1">
      <c r="A63" s="141">
        <f t="shared" si="5"/>
        <v>36</v>
      </c>
      <c r="B63"/>
      <c r="C63" s="154" t="s">
        <v>235</v>
      </c>
      <c r="D63" s="134"/>
      <c r="E63" s="643">
        <f>+AVERAGE(E50:E62)</f>
        <v>0</v>
      </c>
      <c r="F63" s="643">
        <f t="shared" ref="F63:J63" si="8">+AVERAGE(F50:F62)</f>
        <v>0</v>
      </c>
      <c r="G63" s="643">
        <f t="shared" si="8"/>
        <v>0</v>
      </c>
      <c r="H63" s="643">
        <f t="shared" si="8"/>
        <v>0</v>
      </c>
      <c r="I63" s="643">
        <f t="shared" si="8"/>
        <v>0</v>
      </c>
      <c r="J63" s="643">
        <f t="shared" si="8"/>
        <v>0</v>
      </c>
      <c r="K63" s="218"/>
      <c r="L63" s="218"/>
      <c r="M63" s="221"/>
    </row>
    <row r="64" spans="1:13" ht="16.5" customHeight="1">
      <c r="A64" s="141"/>
      <c r="B64"/>
      <c r="C64" s="642"/>
      <c r="D64" s="642"/>
      <c r="E64" s="642"/>
      <c r="F64" s="642"/>
      <c r="G64" s="642"/>
      <c r="H64" s="642"/>
      <c r="I64" s="642"/>
      <c r="J64" s="642"/>
      <c r="K64" s="218"/>
      <c r="L64" s="218"/>
      <c r="M64" s="221"/>
    </row>
    <row r="65" spans="1:946" ht="15.75" thickBot="1">
      <c r="A65" s="131"/>
      <c r="B65" s="659"/>
      <c r="C65" s="660"/>
      <c r="D65" s="661"/>
      <c r="E65" s="662"/>
      <c r="F65" s="663"/>
      <c r="G65" s="663"/>
      <c r="H65" s="662"/>
      <c r="I65" s="664"/>
      <c r="J65" s="659"/>
      <c r="K65" s="665"/>
      <c r="L65" s="665"/>
      <c r="M65" s="586"/>
    </row>
    <row r="66" spans="1:946">
      <c r="B66" s="218"/>
      <c r="C66" s="140"/>
      <c r="D66" s="218"/>
      <c r="F66" s="228"/>
      <c r="G66" s="238"/>
      <c r="H66" s="238"/>
      <c r="I66" s="218"/>
      <c r="J66" s="218"/>
      <c r="K66" s="218"/>
      <c r="L66" s="218"/>
      <c r="M66" s="218"/>
    </row>
    <row r="67" spans="1:946" ht="13.5" thickBot="1">
      <c r="A67" s="154" t="s">
        <v>121</v>
      </c>
    </row>
    <row r="68" spans="1:946" ht="15.75" customHeight="1" thickBot="1">
      <c r="A68" s="976"/>
      <c r="B68" s="977"/>
      <c r="C68" s="977"/>
      <c r="D68" s="977"/>
      <c r="E68" s="977"/>
      <c r="F68" s="977"/>
      <c r="G68" s="985" t="s">
        <v>32</v>
      </c>
      <c r="H68" s="985"/>
      <c r="I68" s="985"/>
      <c r="J68" s="985"/>
      <c r="K68" s="985"/>
      <c r="L68" s="668"/>
      <c r="M68" s="669"/>
    </row>
    <row r="69" spans="1:946">
      <c r="A69" s="141"/>
      <c r="B69" s="153" t="s">
        <v>119</v>
      </c>
      <c r="E69" s="134"/>
      <c r="J69" s="965"/>
      <c r="K69" s="949"/>
      <c r="L69" s="949"/>
      <c r="M69" s="966"/>
    </row>
    <row r="70" spans="1:946" ht="15">
      <c r="A70" s="141"/>
      <c r="B70"/>
      <c r="C70" s="218"/>
      <c r="D70" s="219" t="s">
        <v>22</v>
      </c>
      <c r="E70" s="220" t="s">
        <v>120</v>
      </c>
      <c r="F70" s="119"/>
      <c r="H70" s="133" t="s">
        <v>523</v>
      </c>
      <c r="I70" s="218"/>
      <c r="J70"/>
      <c r="K70" s="218"/>
      <c r="L70" s="218"/>
      <c r="M70" s="221"/>
    </row>
    <row r="71" spans="1:946" ht="31.5">
      <c r="A71" s="141">
        <f>+A63+1</f>
        <v>37</v>
      </c>
      <c r="B71"/>
      <c r="C71" s="140" t="s">
        <v>327</v>
      </c>
      <c r="D71" s="218"/>
      <c r="E71" s="861" t="s">
        <v>290</v>
      </c>
      <c r="F71" s="862"/>
      <c r="G71" s="654">
        <v>0</v>
      </c>
      <c r="H71" s="653" t="s">
        <v>290</v>
      </c>
      <c r="I71" s="218"/>
      <c r="J71" s="654">
        <v>0</v>
      </c>
      <c r="K71" s="218"/>
      <c r="L71" s="218"/>
      <c r="M71" s="221"/>
    </row>
    <row r="72" spans="1:946" ht="15">
      <c r="A72" s="141"/>
      <c r="B72"/>
      <c r="C72" s="228"/>
      <c r="D72" s="218"/>
      <c r="E72" s="228"/>
      <c r="F72" s="140"/>
      <c r="G72" s="238"/>
      <c r="H72" s="358"/>
      <c r="I72" s="218"/>
      <c r="J72"/>
      <c r="K72" s="218"/>
      <c r="L72" s="218"/>
      <c r="M72" s="221"/>
    </row>
    <row r="73" spans="1:946" ht="15">
      <c r="A73" s="159"/>
      <c r="B73" s="218"/>
      <c r="C73" s="361"/>
      <c r="I73" s="218"/>
      <c r="J73" s="218"/>
      <c r="K73" s="218"/>
      <c r="L73" s="218"/>
      <c r="M73" s="221"/>
    </row>
    <row r="74" spans="1:946" ht="15.75" thickBot="1">
      <c r="A74" s="131"/>
      <c r="B74" s="130"/>
      <c r="C74" s="362"/>
      <c r="D74" s="130"/>
      <c r="E74" s="130"/>
      <c r="F74" s="130"/>
      <c r="G74" s="130"/>
      <c r="H74" s="130"/>
      <c r="I74" s="130"/>
      <c r="J74" s="130"/>
      <c r="K74" s="130"/>
      <c r="L74" s="130"/>
      <c r="M74" s="129"/>
    </row>
    <row r="75" spans="1:946" ht="15">
      <c r="C75" s="359"/>
    </row>
    <row r="76" spans="1:946" ht="15.75" thickBot="1">
      <c r="A76" s="154" t="s">
        <v>118</v>
      </c>
      <c r="C76" s="359"/>
    </row>
    <row r="77" spans="1:946" s="360" customFormat="1" ht="13.5" thickBot="1">
      <c r="A77" s="670"/>
      <c r="B77" s="670"/>
      <c r="C77" s="670"/>
      <c r="D77" s="670"/>
      <c r="E77" s="670"/>
      <c r="F77" s="670"/>
      <c r="G77" s="670"/>
      <c r="H77" s="670"/>
      <c r="I77" s="670"/>
      <c r="J77" s="670"/>
      <c r="K77" s="670"/>
      <c r="L77" s="670"/>
      <c r="M77" s="671"/>
      <c r="N77" s="93"/>
      <c r="O77" s="93"/>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c r="AX77" s="93"/>
      <c r="AY77" s="93"/>
      <c r="AZ77" s="93"/>
      <c r="BA77" s="93"/>
      <c r="BB77" s="93"/>
      <c r="BC77" s="93"/>
      <c r="BD77" s="93"/>
      <c r="BE77" s="93"/>
      <c r="BF77" s="93"/>
      <c r="BG77" s="93"/>
      <c r="BH77" s="93"/>
      <c r="BI77" s="93"/>
      <c r="BJ77" s="93"/>
      <c r="BK77" s="93"/>
      <c r="BL77" s="93"/>
      <c r="BM77" s="93"/>
      <c r="BN77" s="93"/>
      <c r="BO77" s="93"/>
      <c r="BP77" s="93"/>
      <c r="BQ77" s="93"/>
      <c r="BR77" s="93"/>
      <c r="BS77" s="93"/>
      <c r="BT77" s="93"/>
      <c r="BU77" s="93"/>
      <c r="BV77" s="93"/>
      <c r="BW77" s="93"/>
      <c r="BX77" s="93"/>
      <c r="BY77" s="93"/>
      <c r="BZ77" s="93"/>
      <c r="CA77" s="93"/>
      <c r="CB77" s="93"/>
      <c r="CC77" s="93"/>
      <c r="CD77" s="93"/>
      <c r="CE77" s="93"/>
      <c r="CF77" s="93"/>
      <c r="CG77" s="93"/>
      <c r="CH77" s="93"/>
      <c r="CI77" s="93"/>
      <c r="CJ77" s="93"/>
      <c r="CK77" s="93"/>
      <c r="CL77" s="93"/>
      <c r="CM77" s="93"/>
      <c r="CN77" s="93"/>
      <c r="CO77" s="93"/>
      <c r="CP77" s="93"/>
      <c r="CQ77" s="93"/>
      <c r="CR77" s="93"/>
      <c r="CS77" s="93"/>
      <c r="CT77" s="93"/>
      <c r="CU77" s="93"/>
      <c r="CV77" s="93"/>
      <c r="CW77" s="93"/>
      <c r="CX77" s="93"/>
      <c r="CY77" s="93"/>
      <c r="CZ77" s="93"/>
      <c r="DA77" s="93"/>
      <c r="DB77" s="93"/>
      <c r="DC77" s="93"/>
      <c r="DD77" s="93"/>
      <c r="DE77" s="93"/>
      <c r="DF77" s="93"/>
      <c r="DG77" s="93"/>
      <c r="DH77" s="93"/>
      <c r="DI77" s="93"/>
      <c r="DJ77" s="93"/>
      <c r="DK77" s="93"/>
      <c r="DL77" s="93"/>
      <c r="DM77" s="93"/>
      <c r="DN77" s="93"/>
      <c r="DO77" s="93"/>
      <c r="DP77" s="93"/>
      <c r="DQ77" s="93"/>
      <c r="DR77" s="93"/>
      <c r="DS77" s="93"/>
      <c r="DT77" s="93"/>
      <c r="DU77" s="93"/>
      <c r="DV77" s="93"/>
      <c r="DW77" s="93"/>
      <c r="DX77" s="93"/>
      <c r="DY77" s="93"/>
      <c r="DZ77" s="93"/>
      <c r="EA77" s="93"/>
      <c r="EB77" s="93"/>
      <c r="EC77" s="93"/>
      <c r="ED77" s="93"/>
      <c r="EE77" s="93"/>
      <c r="EF77" s="93"/>
      <c r="EG77" s="93"/>
      <c r="EH77" s="93"/>
      <c r="EI77" s="93"/>
      <c r="EJ77" s="93"/>
      <c r="EK77" s="93"/>
      <c r="EL77" s="93"/>
      <c r="EM77" s="93"/>
      <c r="EN77" s="93"/>
      <c r="EO77" s="93"/>
      <c r="EP77" s="93"/>
      <c r="EQ77" s="93"/>
      <c r="ER77" s="93"/>
      <c r="ES77" s="93"/>
      <c r="ET77" s="93"/>
      <c r="EU77" s="93"/>
      <c r="EV77" s="93"/>
      <c r="EW77" s="93"/>
      <c r="EX77" s="93"/>
      <c r="EY77" s="93"/>
      <c r="EZ77" s="93"/>
      <c r="FA77" s="93"/>
      <c r="FB77" s="93"/>
      <c r="FC77" s="93"/>
      <c r="FD77" s="93"/>
      <c r="FE77" s="93"/>
      <c r="FF77" s="93"/>
      <c r="FG77" s="93"/>
      <c r="FH77" s="93"/>
      <c r="FI77" s="93"/>
      <c r="FJ77" s="93"/>
      <c r="FK77" s="93"/>
      <c r="FL77" s="93"/>
      <c r="FM77" s="93"/>
      <c r="FN77" s="93"/>
      <c r="FO77" s="93"/>
      <c r="FP77" s="93"/>
      <c r="FQ77" s="93"/>
      <c r="FR77" s="93"/>
      <c r="FS77" s="93"/>
      <c r="FT77" s="93"/>
      <c r="FU77" s="93"/>
      <c r="FV77" s="93"/>
      <c r="FW77" s="93"/>
      <c r="FX77" s="93"/>
      <c r="FY77" s="93"/>
      <c r="FZ77" s="93"/>
      <c r="GA77" s="93"/>
      <c r="GB77" s="93"/>
      <c r="GC77" s="93"/>
      <c r="GD77" s="93"/>
      <c r="GE77" s="93"/>
      <c r="GF77" s="93"/>
      <c r="GG77" s="93"/>
      <c r="GH77" s="93"/>
      <c r="GI77" s="93"/>
      <c r="GJ77" s="93"/>
      <c r="GK77" s="93"/>
      <c r="GL77" s="93"/>
      <c r="GM77" s="93"/>
      <c r="GN77" s="93"/>
      <c r="GO77" s="93"/>
      <c r="GP77" s="93"/>
      <c r="GQ77" s="93"/>
      <c r="GR77" s="93"/>
      <c r="GS77" s="93"/>
      <c r="GT77" s="93"/>
      <c r="GU77" s="93"/>
      <c r="GV77" s="93"/>
      <c r="GW77" s="93"/>
      <c r="GX77" s="93"/>
      <c r="GY77" s="93"/>
      <c r="GZ77" s="93"/>
      <c r="HA77" s="93"/>
      <c r="HB77" s="93"/>
      <c r="HC77" s="93"/>
      <c r="HD77" s="93"/>
      <c r="HE77" s="93"/>
      <c r="HF77" s="93"/>
      <c r="HG77" s="93"/>
      <c r="HH77" s="93"/>
      <c r="HI77" s="93"/>
      <c r="HJ77" s="93"/>
      <c r="HK77" s="93"/>
      <c r="HL77" s="93"/>
      <c r="HM77" s="93"/>
      <c r="HN77" s="93"/>
      <c r="HO77" s="93"/>
      <c r="HP77" s="93"/>
      <c r="HQ77" s="93"/>
      <c r="HR77" s="93"/>
      <c r="HS77" s="93"/>
      <c r="HT77" s="93"/>
      <c r="HU77" s="93"/>
      <c r="HV77" s="93"/>
      <c r="HW77" s="93"/>
      <c r="HX77" s="93"/>
      <c r="HY77" s="93"/>
      <c r="HZ77" s="93"/>
      <c r="IA77" s="93"/>
      <c r="IB77" s="93"/>
      <c r="IC77" s="93"/>
      <c r="ID77" s="93"/>
      <c r="IE77" s="93"/>
      <c r="IF77" s="93"/>
      <c r="IG77" s="93"/>
      <c r="IH77" s="93"/>
      <c r="II77" s="93"/>
      <c r="IJ77" s="93"/>
      <c r="IK77" s="93"/>
      <c r="IL77" s="93"/>
      <c r="IM77" s="93"/>
      <c r="IN77" s="93"/>
      <c r="IO77" s="93"/>
      <c r="IP77" s="93"/>
      <c r="IQ77" s="93"/>
      <c r="IR77" s="93"/>
      <c r="IS77" s="93"/>
      <c r="IT77" s="93"/>
      <c r="IU77" s="93"/>
      <c r="IV77" s="93"/>
      <c r="IW77" s="93"/>
      <c r="IX77" s="93"/>
      <c r="IY77" s="93"/>
      <c r="IZ77" s="93"/>
      <c r="JA77" s="93"/>
      <c r="JB77" s="93"/>
      <c r="JC77" s="93"/>
      <c r="JD77" s="93"/>
      <c r="JE77" s="93"/>
      <c r="JF77" s="93"/>
      <c r="JG77" s="93"/>
      <c r="JH77" s="93"/>
      <c r="JI77" s="93"/>
      <c r="JJ77" s="93"/>
      <c r="JK77" s="93"/>
      <c r="JL77" s="93"/>
      <c r="JM77" s="93"/>
      <c r="JN77" s="93"/>
      <c r="JO77" s="93"/>
      <c r="JP77" s="93"/>
      <c r="JQ77" s="93"/>
      <c r="JR77" s="93"/>
      <c r="JS77" s="93"/>
      <c r="JT77" s="93"/>
      <c r="JU77" s="93"/>
      <c r="JV77" s="93"/>
      <c r="JW77" s="93"/>
      <c r="JX77" s="93"/>
      <c r="JY77" s="93"/>
      <c r="JZ77" s="93"/>
      <c r="KA77" s="93"/>
      <c r="KB77" s="93"/>
      <c r="KC77" s="93"/>
      <c r="KD77" s="93"/>
      <c r="KE77" s="93"/>
      <c r="KF77" s="93"/>
      <c r="KG77" s="93"/>
      <c r="KH77" s="93"/>
      <c r="KI77" s="93"/>
      <c r="KJ77" s="93"/>
      <c r="KK77" s="93"/>
      <c r="KL77" s="93"/>
      <c r="KM77" s="93"/>
      <c r="KN77" s="93"/>
      <c r="KO77" s="93"/>
      <c r="KP77" s="93"/>
      <c r="KQ77" s="93"/>
      <c r="KR77" s="93"/>
      <c r="KS77" s="93"/>
      <c r="KT77" s="93"/>
      <c r="KU77" s="93"/>
      <c r="KV77" s="93"/>
      <c r="KW77" s="93"/>
      <c r="KX77" s="93"/>
      <c r="KY77" s="93"/>
      <c r="KZ77" s="93"/>
      <c r="LA77" s="93"/>
      <c r="LB77" s="93"/>
      <c r="LC77" s="93"/>
      <c r="LD77" s="93"/>
      <c r="LE77" s="93"/>
      <c r="LF77" s="93"/>
      <c r="LG77" s="93"/>
      <c r="LH77" s="93"/>
      <c r="LI77" s="93"/>
      <c r="LJ77" s="93"/>
      <c r="LK77" s="93"/>
      <c r="LL77" s="93"/>
      <c r="LM77" s="93"/>
      <c r="LN77" s="93"/>
      <c r="LO77" s="93"/>
      <c r="LP77" s="93"/>
      <c r="LQ77" s="93"/>
      <c r="LR77" s="93"/>
      <c r="LS77" s="93"/>
      <c r="LT77" s="93"/>
      <c r="LU77" s="93"/>
      <c r="LV77" s="93"/>
      <c r="LW77" s="93"/>
      <c r="LX77" s="93"/>
      <c r="LY77" s="93"/>
      <c r="LZ77" s="93"/>
      <c r="MA77" s="93"/>
      <c r="MB77" s="93"/>
      <c r="MC77" s="93"/>
      <c r="MD77" s="93"/>
      <c r="ME77" s="93"/>
      <c r="MF77" s="93"/>
      <c r="MG77" s="93"/>
      <c r="MH77" s="93"/>
      <c r="MI77" s="93"/>
      <c r="MJ77" s="93"/>
      <c r="MK77" s="93"/>
      <c r="ML77" s="93"/>
      <c r="MM77" s="93"/>
      <c r="MN77" s="93"/>
      <c r="MO77" s="93"/>
      <c r="MP77" s="93"/>
      <c r="MQ77" s="93"/>
      <c r="MR77" s="93"/>
      <c r="MS77" s="93"/>
      <c r="MT77" s="93"/>
      <c r="MU77" s="93"/>
      <c r="MV77" s="93"/>
      <c r="MW77" s="93"/>
      <c r="MX77" s="93"/>
      <c r="MY77" s="93"/>
      <c r="MZ77" s="93"/>
      <c r="NA77" s="93"/>
      <c r="NB77" s="93"/>
      <c r="NC77" s="93"/>
      <c r="ND77" s="93"/>
      <c r="NE77" s="93"/>
      <c r="NF77" s="93"/>
      <c r="NG77" s="93"/>
      <c r="NH77" s="93"/>
      <c r="NI77" s="93"/>
      <c r="NJ77" s="93"/>
      <c r="NK77" s="93"/>
      <c r="NL77" s="93"/>
      <c r="NM77" s="93"/>
      <c r="NN77" s="93"/>
      <c r="NO77" s="93"/>
      <c r="NP77" s="93"/>
      <c r="NQ77" s="93"/>
      <c r="NR77" s="93"/>
      <c r="NS77" s="93"/>
      <c r="NT77" s="93"/>
      <c r="NU77" s="93"/>
      <c r="NV77" s="93"/>
      <c r="NW77" s="93"/>
      <c r="NX77" s="93"/>
      <c r="NY77" s="93"/>
      <c r="NZ77" s="93"/>
      <c r="OA77" s="93"/>
      <c r="OB77" s="93"/>
      <c r="OC77" s="93"/>
      <c r="OD77" s="93"/>
      <c r="OE77" s="93"/>
      <c r="OF77" s="93"/>
      <c r="OG77" s="93"/>
      <c r="OH77" s="93"/>
      <c r="OI77" s="93"/>
      <c r="OJ77" s="93"/>
      <c r="OK77" s="93"/>
      <c r="OL77" s="93"/>
      <c r="OM77" s="93"/>
      <c r="ON77" s="93"/>
      <c r="OO77" s="93"/>
      <c r="OP77" s="93"/>
      <c r="OQ77" s="93"/>
      <c r="OR77" s="93"/>
      <c r="OS77" s="93"/>
      <c r="OT77" s="93"/>
      <c r="OU77" s="93"/>
      <c r="OV77" s="93"/>
      <c r="OW77" s="93"/>
      <c r="OX77" s="93"/>
      <c r="OY77" s="93"/>
      <c r="OZ77" s="93"/>
      <c r="PA77" s="93"/>
      <c r="PB77" s="93"/>
      <c r="PC77" s="93"/>
      <c r="PD77" s="93"/>
      <c r="PE77" s="93"/>
      <c r="PF77" s="93"/>
      <c r="PG77" s="93"/>
      <c r="PH77" s="93"/>
      <c r="PI77" s="93"/>
      <c r="PJ77" s="93"/>
      <c r="PK77" s="93"/>
      <c r="PL77" s="93"/>
      <c r="PM77" s="93"/>
      <c r="PN77" s="93"/>
      <c r="PO77" s="93"/>
      <c r="PP77" s="93"/>
      <c r="PQ77" s="93"/>
      <c r="PR77" s="93"/>
      <c r="PS77" s="93"/>
      <c r="PT77" s="93"/>
      <c r="PU77" s="93"/>
      <c r="PV77" s="93"/>
      <c r="PW77" s="93"/>
      <c r="PX77" s="93"/>
      <c r="PY77" s="93"/>
      <c r="PZ77" s="93"/>
      <c r="QA77" s="93"/>
      <c r="QB77" s="93"/>
      <c r="QC77" s="93"/>
      <c r="QD77" s="93"/>
      <c r="QE77" s="93"/>
      <c r="QF77" s="93"/>
      <c r="QG77" s="93"/>
      <c r="QH77" s="93"/>
      <c r="QI77" s="93"/>
      <c r="QJ77" s="93"/>
      <c r="QK77" s="93"/>
      <c r="QL77" s="93"/>
      <c r="QM77" s="93"/>
      <c r="QN77" s="93"/>
      <c r="QO77" s="93"/>
      <c r="QP77" s="93"/>
      <c r="QQ77" s="93"/>
      <c r="QR77" s="93"/>
      <c r="QS77" s="93"/>
      <c r="QT77" s="93"/>
      <c r="QU77" s="93"/>
      <c r="QV77" s="93"/>
      <c r="QW77" s="93"/>
      <c r="QX77" s="93"/>
      <c r="QY77" s="93"/>
      <c r="QZ77" s="93"/>
      <c r="RA77" s="93"/>
      <c r="RB77" s="93"/>
      <c r="RC77" s="93"/>
      <c r="RD77" s="93"/>
      <c r="RE77" s="93"/>
      <c r="RF77" s="93"/>
      <c r="RG77" s="93"/>
      <c r="RH77" s="93"/>
      <c r="RI77" s="93"/>
      <c r="RJ77" s="93"/>
      <c r="RK77" s="93"/>
      <c r="RL77" s="93"/>
      <c r="RM77" s="93"/>
      <c r="RN77" s="93"/>
      <c r="RO77" s="93"/>
      <c r="RP77" s="93"/>
      <c r="RQ77" s="93"/>
      <c r="RR77" s="93"/>
      <c r="RS77" s="93"/>
      <c r="RT77" s="93"/>
      <c r="RU77" s="93"/>
      <c r="RV77" s="93"/>
      <c r="RW77" s="93"/>
      <c r="RX77" s="93"/>
      <c r="RY77" s="93"/>
      <c r="RZ77" s="93"/>
      <c r="SA77" s="93"/>
      <c r="SB77" s="93"/>
      <c r="SC77" s="93"/>
      <c r="SD77" s="93"/>
      <c r="SE77" s="93"/>
      <c r="SF77" s="93"/>
      <c r="SG77" s="93"/>
      <c r="SH77" s="93"/>
      <c r="SI77" s="93"/>
      <c r="SJ77" s="93"/>
      <c r="SK77" s="93"/>
      <c r="SL77" s="93"/>
      <c r="SM77" s="93"/>
      <c r="SN77" s="93"/>
      <c r="SO77" s="93"/>
      <c r="SP77" s="93"/>
      <c r="SQ77" s="93"/>
      <c r="SR77" s="93"/>
      <c r="SS77" s="93"/>
      <c r="ST77" s="93"/>
      <c r="SU77" s="93"/>
      <c r="SV77" s="93"/>
      <c r="SW77" s="93"/>
      <c r="SX77" s="93"/>
      <c r="SY77" s="93"/>
      <c r="SZ77" s="93"/>
      <c r="TA77" s="93"/>
      <c r="TB77" s="93"/>
      <c r="TC77" s="93"/>
      <c r="TD77" s="93"/>
      <c r="TE77" s="93"/>
      <c r="TF77" s="93"/>
      <c r="TG77" s="93"/>
      <c r="TH77" s="93"/>
      <c r="TI77" s="93"/>
      <c r="TJ77" s="93"/>
      <c r="TK77" s="93"/>
      <c r="TL77" s="93"/>
      <c r="TM77" s="93"/>
      <c r="TN77" s="93"/>
      <c r="TO77" s="93"/>
      <c r="TP77" s="93"/>
      <c r="TQ77" s="93"/>
      <c r="TR77" s="93"/>
      <c r="TS77" s="93"/>
      <c r="TT77" s="93"/>
      <c r="TU77" s="93"/>
      <c r="TV77" s="93"/>
      <c r="TW77" s="93"/>
      <c r="TX77" s="93"/>
      <c r="TY77" s="93"/>
      <c r="TZ77" s="93"/>
      <c r="UA77" s="93"/>
      <c r="UB77" s="93"/>
      <c r="UC77" s="93"/>
      <c r="UD77" s="93"/>
      <c r="UE77" s="93"/>
      <c r="UF77" s="93"/>
      <c r="UG77" s="93"/>
      <c r="UH77" s="93"/>
      <c r="UI77" s="93"/>
      <c r="UJ77" s="93"/>
      <c r="UK77" s="93"/>
      <c r="UL77" s="93"/>
      <c r="UM77" s="93"/>
      <c r="UN77" s="93"/>
      <c r="UO77" s="93"/>
      <c r="UP77" s="93"/>
      <c r="UQ77" s="93"/>
      <c r="UR77" s="93"/>
      <c r="US77" s="93"/>
      <c r="UT77" s="93"/>
      <c r="UU77" s="93"/>
      <c r="UV77" s="93"/>
      <c r="UW77" s="93"/>
      <c r="UX77" s="93"/>
      <c r="UY77" s="93"/>
      <c r="UZ77" s="93"/>
      <c r="VA77" s="93"/>
      <c r="VB77" s="93"/>
      <c r="VC77" s="93"/>
      <c r="VD77" s="93"/>
      <c r="VE77" s="93"/>
      <c r="VF77" s="93"/>
      <c r="VG77" s="93"/>
      <c r="VH77" s="93"/>
      <c r="VI77" s="93"/>
      <c r="VJ77" s="93"/>
      <c r="VK77" s="93"/>
      <c r="VL77" s="93"/>
      <c r="VM77" s="93"/>
      <c r="VN77" s="93"/>
      <c r="VO77" s="93"/>
      <c r="VP77" s="93"/>
      <c r="VQ77" s="93"/>
      <c r="VR77" s="93"/>
      <c r="VS77" s="93"/>
      <c r="VT77" s="93"/>
      <c r="VU77" s="93"/>
      <c r="VV77" s="93"/>
      <c r="VW77" s="93"/>
      <c r="VX77" s="93"/>
      <c r="VY77" s="93"/>
      <c r="VZ77" s="93"/>
      <c r="WA77" s="93"/>
      <c r="WB77" s="93"/>
      <c r="WC77" s="93"/>
      <c r="WD77" s="93"/>
      <c r="WE77" s="93"/>
      <c r="WF77" s="93"/>
      <c r="WG77" s="93"/>
      <c r="WH77" s="93"/>
      <c r="WI77" s="93"/>
      <c r="WJ77" s="93"/>
      <c r="WK77" s="93"/>
      <c r="WL77" s="93"/>
      <c r="WM77" s="93"/>
      <c r="WN77" s="93"/>
      <c r="WO77" s="93"/>
      <c r="WP77" s="93"/>
      <c r="WQ77" s="93"/>
      <c r="WR77" s="93"/>
      <c r="WS77" s="93"/>
      <c r="WT77" s="93"/>
      <c r="WU77" s="93"/>
      <c r="WV77" s="93"/>
      <c r="WW77" s="93"/>
      <c r="WX77" s="93"/>
      <c r="WY77" s="93"/>
      <c r="WZ77" s="93"/>
      <c r="XA77" s="93"/>
      <c r="XB77" s="93"/>
      <c r="XC77" s="93"/>
      <c r="XD77" s="93"/>
      <c r="XE77" s="93"/>
      <c r="XF77" s="93"/>
      <c r="XG77" s="93"/>
      <c r="XH77" s="93"/>
      <c r="XI77" s="93"/>
      <c r="XJ77" s="93"/>
      <c r="XK77" s="93"/>
      <c r="XL77" s="93"/>
      <c r="XM77" s="93"/>
      <c r="XN77" s="93"/>
      <c r="XO77" s="93"/>
      <c r="XP77" s="93"/>
      <c r="XQ77" s="93"/>
      <c r="XR77" s="93"/>
      <c r="XS77" s="93"/>
      <c r="XT77" s="93"/>
      <c r="XU77" s="93"/>
      <c r="XV77" s="93"/>
      <c r="XW77" s="93"/>
      <c r="XX77" s="93"/>
      <c r="XY77" s="93"/>
      <c r="XZ77" s="93"/>
      <c r="YA77" s="93"/>
      <c r="YB77" s="93"/>
      <c r="YC77" s="93"/>
      <c r="YD77" s="93"/>
      <c r="YE77" s="93"/>
      <c r="YF77" s="93"/>
      <c r="YG77" s="93"/>
      <c r="YH77" s="93"/>
      <c r="YI77" s="93"/>
      <c r="YJ77" s="93"/>
      <c r="YK77" s="93"/>
      <c r="YL77" s="93"/>
      <c r="YM77" s="93"/>
      <c r="YN77" s="93"/>
      <c r="YO77" s="93"/>
      <c r="YP77" s="93"/>
      <c r="YQ77" s="93"/>
      <c r="YR77" s="93"/>
      <c r="YS77" s="93"/>
      <c r="YT77" s="93"/>
      <c r="YU77" s="93"/>
      <c r="YV77" s="93"/>
      <c r="YW77" s="93"/>
      <c r="YX77" s="93"/>
      <c r="YY77" s="93"/>
      <c r="YZ77" s="93"/>
      <c r="ZA77" s="93"/>
      <c r="ZB77" s="93"/>
      <c r="ZC77" s="93"/>
      <c r="ZD77" s="93"/>
      <c r="ZE77" s="93"/>
      <c r="ZF77" s="93"/>
      <c r="ZG77" s="93"/>
      <c r="ZH77" s="93"/>
      <c r="ZI77" s="93"/>
      <c r="ZJ77" s="93"/>
      <c r="ZK77" s="93"/>
      <c r="ZL77" s="93"/>
      <c r="ZM77" s="93"/>
      <c r="ZN77" s="93"/>
      <c r="ZO77" s="93"/>
      <c r="ZP77" s="93"/>
      <c r="ZQ77" s="93"/>
      <c r="ZR77" s="93"/>
      <c r="ZS77" s="93"/>
      <c r="ZT77" s="93"/>
      <c r="ZU77" s="93"/>
      <c r="ZV77" s="93"/>
      <c r="ZW77" s="93"/>
      <c r="ZX77" s="93"/>
      <c r="ZY77" s="93"/>
      <c r="ZZ77" s="93"/>
      <c r="AAA77" s="93"/>
      <c r="AAB77" s="93"/>
      <c r="AAC77" s="93"/>
      <c r="AAD77" s="93"/>
      <c r="AAE77" s="93"/>
      <c r="AAF77" s="93"/>
      <c r="AAG77" s="93"/>
      <c r="AAH77" s="93"/>
      <c r="AAI77" s="93"/>
      <c r="AAJ77" s="93"/>
      <c r="AAK77" s="93"/>
      <c r="AAL77" s="93"/>
      <c r="AAM77" s="93"/>
      <c r="AAN77" s="93"/>
      <c r="AAO77" s="93"/>
      <c r="AAP77" s="93"/>
      <c r="AAQ77" s="93"/>
      <c r="AAR77" s="93"/>
      <c r="AAS77" s="93"/>
      <c r="AAT77" s="93"/>
      <c r="AAU77" s="93"/>
      <c r="AAV77" s="93"/>
      <c r="AAW77" s="93"/>
      <c r="AAX77" s="93"/>
      <c r="AAY77" s="93"/>
      <c r="AAZ77" s="93"/>
      <c r="ABA77" s="93"/>
      <c r="ABB77" s="93"/>
      <c r="ABC77" s="93"/>
      <c r="ABD77" s="93"/>
      <c r="ABE77" s="93"/>
      <c r="ABF77" s="93"/>
      <c r="ABG77" s="93"/>
      <c r="ABH77" s="93"/>
      <c r="ABI77" s="93"/>
      <c r="ABJ77" s="93"/>
      <c r="ABK77" s="93"/>
      <c r="ABL77" s="93"/>
      <c r="ABM77" s="93"/>
      <c r="ABN77" s="93"/>
      <c r="ABO77" s="93"/>
      <c r="ABP77" s="93"/>
      <c r="ABQ77" s="93"/>
      <c r="ABR77" s="93"/>
      <c r="ABS77" s="93"/>
      <c r="ABT77" s="93"/>
      <c r="ABU77" s="93"/>
      <c r="ABV77" s="93"/>
      <c r="ABW77" s="93"/>
      <c r="ABX77" s="93"/>
      <c r="ABY77" s="93"/>
      <c r="ABZ77" s="93"/>
      <c r="ACA77" s="93"/>
      <c r="ACB77" s="93"/>
      <c r="ACC77" s="93"/>
      <c r="ACD77" s="93"/>
      <c r="ACE77" s="93"/>
      <c r="ACF77" s="93"/>
      <c r="ACG77" s="93"/>
      <c r="ACH77" s="93"/>
      <c r="ACI77" s="93"/>
      <c r="ACJ77" s="93"/>
      <c r="ACK77" s="93"/>
      <c r="ACL77" s="93"/>
      <c r="ACM77" s="93"/>
      <c r="ACN77" s="93"/>
      <c r="ACO77" s="93"/>
      <c r="ACP77" s="93"/>
      <c r="ACQ77" s="93"/>
      <c r="ACR77" s="93"/>
      <c r="ACS77" s="93"/>
      <c r="ACT77" s="93"/>
      <c r="ACU77" s="93"/>
      <c r="ACV77" s="93"/>
      <c r="ACW77" s="93"/>
      <c r="ACX77" s="93"/>
      <c r="ACY77" s="93"/>
      <c r="ACZ77" s="93"/>
      <c r="ADA77" s="93"/>
      <c r="ADB77" s="93"/>
      <c r="ADC77" s="93"/>
      <c r="ADD77" s="93"/>
      <c r="ADE77" s="93"/>
      <c r="ADF77" s="93"/>
      <c r="ADG77" s="93"/>
      <c r="ADH77" s="93"/>
      <c r="ADI77" s="93"/>
      <c r="ADJ77" s="93"/>
      <c r="ADK77" s="93"/>
      <c r="ADL77" s="93"/>
      <c r="ADM77" s="93"/>
      <c r="ADN77" s="93"/>
      <c r="ADO77" s="93"/>
      <c r="ADP77" s="93"/>
      <c r="ADQ77" s="93"/>
      <c r="ADR77" s="93"/>
      <c r="ADS77" s="93"/>
      <c r="ADT77" s="93"/>
      <c r="ADU77" s="93"/>
      <c r="ADV77" s="93"/>
      <c r="ADW77" s="93"/>
      <c r="ADX77" s="93"/>
      <c r="ADY77" s="93"/>
      <c r="ADZ77" s="93"/>
      <c r="AEA77" s="93"/>
      <c r="AEB77" s="93"/>
      <c r="AEC77" s="93"/>
      <c r="AED77" s="93"/>
      <c r="AEE77" s="93"/>
      <c r="AEF77" s="93"/>
      <c r="AEG77" s="93"/>
      <c r="AEH77" s="93"/>
      <c r="AEI77" s="93"/>
      <c r="AEJ77" s="93"/>
      <c r="AEK77" s="93"/>
      <c r="AEL77" s="93"/>
      <c r="AEM77" s="93"/>
      <c r="AEN77" s="93"/>
      <c r="AEO77" s="93"/>
      <c r="AEP77" s="93"/>
      <c r="AEQ77" s="93"/>
      <c r="AER77" s="93"/>
      <c r="AES77" s="93"/>
      <c r="AET77" s="93"/>
      <c r="AEU77" s="93"/>
      <c r="AEV77" s="93"/>
      <c r="AEW77" s="93"/>
      <c r="AEX77" s="93"/>
      <c r="AEY77" s="93"/>
      <c r="AEZ77" s="93"/>
      <c r="AFA77" s="93"/>
      <c r="AFB77" s="93"/>
      <c r="AFC77" s="93"/>
      <c r="AFD77" s="93"/>
      <c r="AFE77" s="93"/>
      <c r="AFF77" s="93"/>
      <c r="AFG77" s="93"/>
      <c r="AFH77" s="93"/>
      <c r="AFI77" s="93"/>
      <c r="AFJ77" s="93"/>
      <c r="AFK77" s="93"/>
      <c r="AFL77" s="93"/>
      <c r="AFM77" s="93"/>
      <c r="AFN77" s="93"/>
      <c r="AFO77" s="93"/>
      <c r="AFP77" s="93"/>
      <c r="AFQ77" s="93"/>
      <c r="AFR77" s="93"/>
      <c r="AFS77" s="93"/>
      <c r="AFT77" s="93"/>
      <c r="AFU77" s="93"/>
      <c r="AFV77" s="93"/>
      <c r="AFW77" s="93"/>
      <c r="AFX77" s="93"/>
      <c r="AFY77" s="93"/>
      <c r="AFZ77" s="93"/>
      <c r="AGA77" s="93"/>
      <c r="AGB77" s="93"/>
      <c r="AGC77" s="93"/>
      <c r="AGD77" s="93"/>
      <c r="AGE77" s="93"/>
      <c r="AGF77" s="93"/>
      <c r="AGG77" s="93"/>
      <c r="AGH77" s="93"/>
      <c r="AGI77" s="93"/>
      <c r="AGJ77" s="93"/>
      <c r="AGK77" s="93"/>
      <c r="AGL77" s="93"/>
      <c r="AGM77" s="93"/>
      <c r="AGN77" s="93"/>
      <c r="AGO77" s="93"/>
      <c r="AGP77" s="93"/>
      <c r="AGQ77" s="93"/>
      <c r="AGR77" s="93"/>
      <c r="AGS77" s="93"/>
      <c r="AGT77" s="93"/>
      <c r="AGU77" s="93"/>
      <c r="AGV77" s="93"/>
      <c r="AGW77" s="93"/>
      <c r="AGX77" s="93"/>
      <c r="AGY77" s="93"/>
      <c r="AGZ77" s="93"/>
      <c r="AHA77" s="93"/>
      <c r="AHB77" s="93"/>
      <c r="AHC77" s="93"/>
      <c r="AHD77" s="93"/>
      <c r="AHE77" s="93"/>
      <c r="AHF77" s="93"/>
      <c r="AHG77" s="93"/>
      <c r="AHH77" s="93"/>
      <c r="AHI77" s="93"/>
      <c r="AHJ77" s="93"/>
      <c r="AHK77" s="93"/>
      <c r="AHL77" s="93"/>
      <c r="AHM77" s="93"/>
      <c r="AHN77" s="93"/>
      <c r="AHO77" s="93"/>
      <c r="AHP77" s="93"/>
      <c r="AHQ77" s="93"/>
      <c r="AHR77" s="93"/>
      <c r="AHS77" s="93"/>
      <c r="AHT77" s="93"/>
      <c r="AHU77" s="93"/>
      <c r="AHV77" s="93"/>
      <c r="AHW77" s="93"/>
      <c r="AHX77" s="93"/>
      <c r="AHY77" s="93"/>
      <c r="AHZ77" s="93"/>
      <c r="AIA77" s="93"/>
      <c r="AIB77" s="93"/>
      <c r="AIC77" s="93"/>
      <c r="AID77" s="93"/>
      <c r="AIE77" s="93"/>
      <c r="AIF77" s="93"/>
      <c r="AIG77" s="93"/>
      <c r="AIH77" s="93"/>
      <c r="AII77" s="93"/>
      <c r="AIJ77" s="93"/>
      <c r="AIK77" s="93"/>
      <c r="AIL77" s="93"/>
      <c r="AIM77" s="93"/>
      <c r="AIN77" s="93"/>
      <c r="AIO77" s="93"/>
      <c r="AIP77" s="93"/>
      <c r="AIQ77" s="93"/>
      <c r="AIR77" s="93"/>
      <c r="AIS77" s="93"/>
      <c r="AIT77" s="93"/>
      <c r="AIU77" s="93"/>
      <c r="AIV77" s="93"/>
      <c r="AIW77" s="93"/>
      <c r="AIX77" s="93"/>
      <c r="AIY77" s="93"/>
      <c r="AIZ77" s="93"/>
      <c r="AJA77" s="93"/>
      <c r="AJB77" s="93"/>
      <c r="AJC77" s="93"/>
      <c r="AJD77" s="93"/>
      <c r="AJE77" s="93"/>
      <c r="AJF77" s="93"/>
      <c r="AJG77" s="93"/>
      <c r="AJH77" s="93"/>
      <c r="AJI77" s="93"/>
      <c r="AJJ77" s="93"/>
    </row>
    <row r="78" spans="1:946" s="360" customFormat="1" ht="25.5">
      <c r="A78" s="957"/>
      <c r="B78" s="958"/>
      <c r="C78" s="958"/>
      <c r="D78" s="958"/>
      <c r="E78" s="958"/>
      <c r="F78" s="958"/>
      <c r="G78" s="672" t="s">
        <v>116</v>
      </c>
      <c r="H78" s="648" t="s">
        <v>110</v>
      </c>
      <c r="I78" s="648" t="s">
        <v>115</v>
      </c>
      <c r="J78" s="953" t="s">
        <v>273</v>
      </c>
      <c r="K78" s="967"/>
      <c r="L78" s="967"/>
      <c r="M78" s="968"/>
      <c r="N78" s="93"/>
      <c r="O78" s="93"/>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c r="AX78" s="93"/>
      <c r="AY78" s="93"/>
      <c r="AZ78" s="93"/>
      <c r="BA78" s="93"/>
      <c r="BB78" s="93"/>
      <c r="BC78" s="93"/>
      <c r="BD78" s="93"/>
      <c r="BE78" s="93"/>
      <c r="BF78" s="93"/>
      <c r="BG78" s="93"/>
      <c r="BH78" s="93"/>
      <c r="BI78" s="93"/>
      <c r="BJ78" s="93"/>
      <c r="BK78" s="93"/>
      <c r="BL78" s="93"/>
      <c r="BM78" s="93"/>
      <c r="BN78" s="93"/>
      <c r="BO78" s="93"/>
      <c r="BP78" s="93"/>
      <c r="BQ78" s="93"/>
      <c r="BR78" s="93"/>
      <c r="BS78" s="93"/>
      <c r="BT78" s="93"/>
      <c r="BU78" s="93"/>
      <c r="BV78" s="93"/>
      <c r="BW78" s="93"/>
      <c r="BX78" s="93"/>
      <c r="BY78" s="93"/>
      <c r="BZ78" s="93"/>
      <c r="CA78" s="93"/>
      <c r="CB78" s="93"/>
      <c r="CC78" s="93"/>
      <c r="CD78" s="93"/>
      <c r="CE78" s="93"/>
      <c r="CF78" s="93"/>
      <c r="CG78" s="93"/>
      <c r="CH78" s="93"/>
      <c r="CI78" s="93"/>
      <c r="CJ78" s="93"/>
      <c r="CK78" s="93"/>
      <c r="CL78" s="93"/>
      <c r="CM78" s="93"/>
      <c r="CN78" s="93"/>
      <c r="CO78" s="93"/>
      <c r="CP78" s="93"/>
      <c r="CQ78" s="93"/>
      <c r="CR78" s="93"/>
      <c r="CS78" s="93"/>
      <c r="CT78" s="93"/>
      <c r="CU78" s="93"/>
      <c r="CV78" s="93"/>
      <c r="CW78" s="93"/>
      <c r="CX78" s="93"/>
      <c r="CY78" s="93"/>
      <c r="CZ78" s="93"/>
      <c r="DA78" s="93"/>
      <c r="DB78" s="93"/>
      <c r="DC78" s="93"/>
      <c r="DD78" s="93"/>
      <c r="DE78" s="93"/>
      <c r="DF78" s="93"/>
      <c r="DG78" s="93"/>
      <c r="DH78" s="93"/>
      <c r="DI78" s="93"/>
      <c r="DJ78" s="93"/>
      <c r="DK78" s="93"/>
      <c r="DL78" s="93"/>
      <c r="DM78" s="93"/>
      <c r="DN78" s="93"/>
      <c r="DO78" s="93"/>
      <c r="DP78" s="93"/>
      <c r="DQ78" s="93"/>
      <c r="DR78" s="93"/>
      <c r="DS78" s="93"/>
      <c r="DT78" s="93"/>
      <c r="DU78" s="93"/>
      <c r="DV78" s="93"/>
      <c r="DW78" s="93"/>
      <c r="DX78" s="93"/>
      <c r="DY78" s="93"/>
      <c r="DZ78" s="93"/>
      <c r="EA78" s="93"/>
      <c r="EB78" s="93"/>
      <c r="EC78" s="93"/>
      <c r="ED78" s="93"/>
      <c r="EE78" s="93"/>
      <c r="EF78" s="93"/>
      <c r="EG78" s="93"/>
      <c r="EH78" s="93"/>
      <c r="EI78" s="93"/>
      <c r="EJ78" s="93"/>
      <c r="EK78" s="93"/>
      <c r="EL78" s="93"/>
      <c r="EM78" s="93"/>
      <c r="EN78" s="93"/>
      <c r="EO78" s="93"/>
      <c r="EP78" s="93"/>
      <c r="EQ78" s="93"/>
      <c r="ER78" s="93"/>
      <c r="ES78" s="93"/>
      <c r="ET78" s="93"/>
      <c r="EU78" s="93"/>
      <c r="EV78" s="93"/>
      <c r="EW78" s="93"/>
      <c r="EX78" s="93"/>
      <c r="EY78" s="93"/>
      <c r="EZ78" s="93"/>
      <c r="FA78" s="93"/>
      <c r="FB78" s="93"/>
      <c r="FC78" s="93"/>
      <c r="FD78" s="93"/>
      <c r="FE78" s="93"/>
      <c r="FF78" s="93"/>
      <c r="FG78" s="93"/>
      <c r="FH78" s="93"/>
      <c r="FI78" s="93"/>
      <c r="FJ78" s="93"/>
      <c r="FK78" s="93"/>
      <c r="FL78" s="93"/>
      <c r="FM78" s="93"/>
      <c r="FN78" s="93"/>
      <c r="FO78" s="93"/>
      <c r="FP78" s="93"/>
      <c r="FQ78" s="93"/>
      <c r="FR78" s="93"/>
      <c r="FS78" s="93"/>
      <c r="FT78" s="93"/>
      <c r="FU78" s="93"/>
      <c r="FV78" s="93"/>
      <c r="FW78" s="93"/>
      <c r="FX78" s="93"/>
      <c r="FY78" s="93"/>
      <c r="FZ78" s="93"/>
      <c r="GA78" s="93"/>
      <c r="GB78" s="93"/>
      <c r="GC78" s="93"/>
      <c r="GD78" s="93"/>
      <c r="GE78" s="93"/>
      <c r="GF78" s="93"/>
      <c r="GG78" s="93"/>
      <c r="GH78" s="93"/>
      <c r="GI78" s="93"/>
      <c r="GJ78" s="93"/>
      <c r="GK78" s="93"/>
      <c r="GL78" s="93"/>
      <c r="GM78" s="93"/>
      <c r="GN78" s="93"/>
      <c r="GO78" s="93"/>
      <c r="GP78" s="93"/>
      <c r="GQ78" s="93"/>
      <c r="GR78" s="93"/>
      <c r="GS78" s="93"/>
      <c r="GT78" s="93"/>
      <c r="GU78" s="93"/>
      <c r="GV78" s="93"/>
      <c r="GW78" s="93"/>
      <c r="GX78" s="93"/>
      <c r="GY78" s="93"/>
      <c r="GZ78" s="93"/>
      <c r="HA78" s="93"/>
      <c r="HB78" s="93"/>
      <c r="HC78" s="93"/>
      <c r="HD78" s="93"/>
      <c r="HE78" s="93"/>
      <c r="HF78" s="93"/>
      <c r="HG78" s="93"/>
      <c r="HH78" s="93"/>
      <c r="HI78" s="93"/>
      <c r="HJ78" s="93"/>
      <c r="HK78" s="93"/>
      <c r="HL78" s="93"/>
      <c r="HM78" s="93"/>
      <c r="HN78" s="93"/>
      <c r="HO78" s="93"/>
      <c r="HP78" s="93"/>
      <c r="HQ78" s="93"/>
      <c r="HR78" s="93"/>
      <c r="HS78" s="93"/>
      <c r="HT78" s="93"/>
      <c r="HU78" s="93"/>
      <c r="HV78" s="93"/>
      <c r="HW78" s="93"/>
      <c r="HX78" s="93"/>
      <c r="HY78" s="93"/>
      <c r="HZ78" s="93"/>
      <c r="IA78" s="93"/>
      <c r="IB78" s="93"/>
      <c r="IC78" s="93"/>
      <c r="ID78" s="93"/>
      <c r="IE78" s="93"/>
      <c r="IF78" s="93"/>
      <c r="IG78" s="93"/>
      <c r="IH78" s="93"/>
      <c r="II78" s="93"/>
      <c r="IJ78" s="93"/>
      <c r="IK78" s="93"/>
      <c r="IL78" s="93"/>
      <c r="IM78" s="93"/>
      <c r="IN78" s="93"/>
      <c r="IO78" s="93"/>
      <c r="IP78" s="93"/>
      <c r="IQ78" s="93"/>
      <c r="IR78" s="93"/>
      <c r="IS78" s="93"/>
      <c r="IT78" s="93"/>
      <c r="IU78" s="93"/>
      <c r="IV78" s="93"/>
      <c r="IW78" s="93"/>
      <c r="IX78" s="93"/>
      <c r="IY78" s="93"/>
      <c r="IZ78" s="93"/>
      <c r="JA78" s="93"/>
      <c r="JB78" s="93"/>
      <c r="JC78" s="93"/>
      <c r="JD78" s="93"/>
      <c r="JE78" s="93"/>
      <c r="JF78" s="93"/>
      <c r="JG78" s="93"/>
      <c r="JH78" s="93"/>
      <c r="JI78" s="93"/>
      <c r="JJ78" s="93"/>
      <c r="JK78" s="93"/>
      <c r="JL78" s="93"/>
      <c r="JM78" s="93"/>
      <c r="JN78" s="93"/>
      <c r="JO78" s="93"/>
      <c r="JP78" s="93"/>
      <c r="JQ78" s="93"/>
      <c r="JR78" s="93"/>
      <c r="JS78" s="93"/>
      <c r="JT78" s="93"/>
      <c r="JU78" s="93"/>
      <c r="JV78" s="93"/>
      <c r="JW78" s="93"/>
      <c r="JX78" s="93"/>
      <c r="JY78" s="93"/>
      <c r="JZ78" s="93"/>
      <c r="KA78" s="93"/>
      <c r="KB78" s="93"/>
      <c r="KC78" s="93"/>
      <c r="KD78" s="93"/>
      <c r="KE78" s="93"/>
      <c r="KF78" s="93"/>
      <c r="KG78" s="93"/>
      <c r="KH78" s="93"/>
      <c r="KI78" s="93"/>
      <c r="KJ78" s="93"/>
      <c r="KK78" s="93"/>
      <c r="KL78" s="93"/>
      <c r="KM78" s="93"/>
      <c r="KN78" s="93"/>
      <c r="KO78" s="93"/>
      <c r="KP78" s="93"/>
      <c r="KQ78" s="93"/>
      <c r="KR78" s="93"/>
      <c r="KS78" s="93"/>
      <c r="KT78" s="93"/>
      <c r="KU78" s="93"/>
      <c r="KV78" s="93"/>
      <c r="KW78" s="93"/>
      <c r="KX78" s="93"/>
      <c r="KY78" s="93"/>
      <c r="KZ78" s="93"/>
      <c r="LA78" s="93"/>
      <c r="LB78" s="93"/>
      <c r="LC78" s="93"/>
      <c r="LD78" s="93"/>
      <c r="LE78" s="93"/>
      <c r="LF78" s="93"/>
      <c r="LG78" s="93"/>
      <c r="LH78" s="93"/>
      <c r="LI78" s="93"/>
      <c r="LJ78" s="93"/>
      <c r="LK78" s="93"/>
      <c r="LL78" s="93"/>
      <c r="LM78" s="93"/>
      <c r="LN78" s="93"/>
      <c r="LO78" s="93"/>
      <c r="LP78" s="93"/>
      <c r="LQ78" s="93"/>
      <c r="LR78" s="93"/>
      <c r="LS78" s="93"/>
      <c r="LT78" s="93"/>
      <c r="LU78" s="93"/>
      <c r="LV78" s="93"/>
      <c r="LW78" s="93"/>
      <c r="LX78" s="93"/>
      <c r="LY78" s="93"/>
      <c r="LZ78" s="93"/>
      <c r="MA78" s="93"/>
      <c r="MB78" s="93"/>
      <c r="MC78" s="93"/>
      <c r="MD78" s="93"/>
      <c r="ME78" s="93"/>
      <c r="MF78" s="93"/>
      <c r="MG78" s="93"/>
      <c r="MH78" s="93"/>
      <c r="MI78" s="93"/>
      <c r="MJ78" s="93"/>
      <c r="MK78" s="93"/>
      <c r="ML78" s="93"/>
      <c r="MM78" s="93"/>
      <c r="MN78" s="93"/>
      <c r="MO78" s="93"/>
      <c r="MP78" s="93"/>
      <c r="MQ78" s="93"/>
      <c r="MR78" s="93"/>
      <c r="MS78" s="93"/>
      <c r="MT78" s="93"/>
      <c r="MU78" s="93"/>
      <c r="MV78" s="93"/>
      <c r="MW78" s="93"/>
      <c r="MX78" s="93"/>
      <c r="MY78" s="93"/>
      <c r="MZ78" s="93"/>
      <c r="NA78" s="93"/>
      <c r="NB78" s="93"/>
      <c r="NC78" s="93"/>
      <c r="ND78" s="93"/>
      <c r="NE78" s="93"/>
      <c r="NF78" s="93"/>
      <c r="NG78" s="93"/>
      <c r="NH78" s="93"/>
      <c r="NI78" s="93"/>
      <c r="NJ78" s="93"/>
      <c r="NK78" s="93"/>
      <c r="NL78" s="93"/>
      <c r="NM78" s="93"/>
      <c r="NN78" s="93"/>
      <c r="NO78" s="93"/>
      <c r="NP78" s="93"/>
      <c r="NQ78" s="93"/>
      <c r="NR78" s="93"/>
      <c r="NS78" s="93"/>
      <c r="NT78" s="93"/>
      <c r="NU78" s="93"/>
      <c r="NV78" s="93"/>
      <c r="NW78" s="93"/>
      <c r="NX78" s="93"/>
      <c r="NY78" s="93"/>
      <c r="NZ78" s="93"/>
      <c r="OA78" s="93"/>
      <c r="OB78" s="93"/>
      <c r="OC78" s="93"/>
      <c r="OD78" s="93"/>
      <c r="OE78" s="93"/>
      <c r="OF78" s="93"/>
      <c r="OG78" s="93"/>
      <c r="OH78" s="93"/>
      <c r="OI78" s="93"/>
      <c r="OJ78" s="93"/>
      <c r="OK78" s="93"/>
      <c r="OL78" s="93"/>
      <c r="OM78" s="93"/>
      <c r="ON78" s="93"/>
      <c r="OO78" s="93"/>
      <c r="OP78" s="93"/>
      <c r="OQ78" s="93"/>
      <c r="OR78" s="93"/>
      <c r="OS78" s="93"/>
      <c r="OT78" s="93"/>
      <c r="OU78" s="93"/>
      <c r="OV78" s="93"/>
      <c r="OW78" s="93"/>
      <c r="OX78" s="93"/>
      <c r="OY78" s="93"/>
      <c r="OZ78" s="93"/>
      <c r="PA78" s="93"/>
      <c r="PB78" s="93"/>
      <c r="PC78" s="93"/>
      <c r="PD78" s="93"/>
      <c r="PE78" s="93"/>
      <c r="PF78" s="93"/>
      <c r="PG78" s="93"/>
      <c r="PH78" s="93"/>
      <c r="PI78" s="93"/>
      <c r="PJ78" s="93"/>
      <c r="PK78" s="93"/>
      <c r="PL78" s="93"/>
      <c r="PM78" s="93"/>
      <c r="PN78" s="93"/>
      <c r="PO78" s="93"/>
      <c r="PP78" s="93"/>
      <c r="PQ78" s="93"/>
      <c r="PR78" s="93"/>
      <c r="PS78" s="93"/>
      <c r="PT78" s="93"/>
      <c r="PU78" s="93"/>
      <c r="PV78" s="93"/>
      <c r="PW78" s="93"/>
      <c r="PX78" s="93"/>
      <c r="PY78" s="93"/>
      <c r="PZ78" s="93"/>
      <c r="QA78" s="93"/>
      <c r="QB78" s="93"/>
      <c r="QC78" s="93"/>
      <c r="QD78" s="93"/>
      <c r="QE78" s="93"/>
      <c r="QF78" s="93"/>
      <c r="QG78" s="93"/>
      <c r="QH78" s="93"/>
      <c r="QI78" s="93"/>
      <c r="QJ78" s="93"/>
      <c r="QK78" s="93"/>
      <c r="QL78" s="93"/>
      <c r="QM78" s="93"/>
      <c r="QN78" s="93"/>
      <c r="QO78" s="93"/>
      <c r="QP78" s="93"/>
      <c r="QQ78" s="93"/>
      <c r="QR78" s="93"/>
      <c r="QS78" s="93"/>
      <c r="QT78" s="93"/>
      <c r="QU78" s="93"/>
      <c r="QV78" s="93"/>
      <c r="QW78" s="93"/>
      <c r="QX78" s="93"/>
      <c r="QY78" s="93"/>
      <c r="QZ78" s="93"/>
      <c r="RA78" s="93"/>
      <c r="RB78" s="93"/>
      <c r="RC78" s="93"/>
      <c r="RD78" s="93"/>
      <c r="RE78" s="93"/>
      <c r="RF78" s="93"/>
      <c r="RG78" s="93"/>
      <c r="RH78" s="93"/>
      <c r="RI78" s="93"/>
      <c r="RJ78" s="93"/>
      <c r="RK78" s="93"/>
      <c r="RL78" s="93"/>
      <c r="RM78" s="93"/>
      <c r="RN78" s="93"/>
      <c r="RO78" s="93"/>
      <c r="RP78" s="93"/>
      <c r="RQ78" s="93"/>
      <c r="RR78" s="93"/>
      <c r="RS78" s="93"/>
      <c r="RT78" s="93"/>
      <c r="RU78" s="93"/>
      <c r="RV78" s="93"/>
      <c r="RW78" s="93"/>
      <c r="RX78" s="93"/>
      <c r="RY78" s="93"/>
      <c r="RZ78" s="93"/>
      <c r="SA78" s="93"/>
      <c r="SB78" s="93"/>
      <c r="SC78" s="93"/>
      <c r="SD78" s="93"/>
      <c r="SE78" s="93"/>
      <c r="SF78" s="93"/>
      <c r="SG78" s="93"/>
      <c r="SH78" s="93"/>
      <c r="SI78" s="93"/>
      <c r="SJ78" s="93"/>
      <c r="SK78" s="93"/>
      <c r="SL78" s="93"/>
      <c r="SM78" s="93"/>
      <c r="SN78" s="93"/>
      <c r="SO78" s="93"/>
      <c r="SP78" s="93"/>
      <c r="SQ78" s="93"/>
      <c r="SR78" s="93"/>
      <c r="SS78" s="93"/>
      <c r="ST78" s="93"/>
      <c r="SU78" s="93"/>
      <c r="SV78" s="93"/>
      <c r="SW78" s="93"/>
      <c r="SX78" s="93"/>
      <c r="SY78" s="93"/>
      <c r="SZ78" s="93"/>
      <c r="TA78" s="93"/>
      <c r="TB78" s="93"/>
      <c r="TC78" s="93"/>
      <c r="TD78" s="93"/>
      <c r="TE78" s="93"/>
      <c r="TF78" s="93"/>
      <c r="TG78" s="93"/>
      <c r="TH78" s="93"/>
      <c r="TI78" s="93"/>
      <c r="TJ78" s="93"/>
      <c r="TK78" s="93"/>
      <c r="TL78" s="93"/>
      <c r="TM78" s="93"/>
      <c r="TN78" s="93"/>
      <c r="TO78" s="93"/>
      <c r="TP78" s="93"/>
      <c r="TQ78" s="93"/>
      <c r="TR78" s="93"/>
      <c r="TS78" s="93"/>
      <c r="TT78" s="93"/>
      <c r="TU78" s="93"/>
      <c r="TV78" s="93"/>
      <c r="TW78" s="93"/>
      <c r="TX78" s="93"/>
      <c r="TY78" s="93"/>
      <c r="TZ78" s="93"/>
      <c r="UA78" s="93"/>
      <c r="UB78" s="93"/>
      <c r="UC78" s="93"/>
      <c r="UD78" s="93"/>
      <c r="UE78" s="93"/>
      <c r="UF78" s="93"/>
      <c r="UG78" s="93"/>
      <c r="UH78" s="93"/>
      <c r="UI78" s="93"/>
      <c r="UJ78" s="93"/>
      <c r="UK78" s="93"/>
      <c r="UL78" s="93"/>
      <c r="UM78" s="93"/>
      <c r="UN78" s="93"/>
      <c r="UO78" s="93"/>
      <c r="UP78" s="93"/>
      <c r="UQ78" s="93"/>
      <c r="UR78" s="93"/>
      <c r="US78" s="93"/>
      <c r="UT78" s="93"/>
      <c r="UU78" s="93"/>
      <c r="UV78" s="93"/>
      <c r="UW78" s="93"/>
      <c r="UX78" s="93"/>
      <c r="UY78" s="93"/>
      <c r="UZ78" s="93"/>
      <c r="VA78" s="93"/>
      <c r="VB78" s="93"/>
      <c r="VC78" s="93"/>
      <c r="VD78" s="93"/>
      <c r="VE78" s="93"/>
      <c r="VF78" s="93"/>
      <c r="VG78" s="93"/>
      <c r="VH78" s="93"/>
      <c r="VI78" s="93"/>
      <c r="VJ78" s="93"/>
      <c r="VK78" s="93"/>
      <c r="VL78" s="93"/>
      <c r="VM78" s="93"/>
      <c r="VN78" s="93"/>
      <c r="VO78" s="93"/>
      <c r="VP78" s="93"/>
      <c r="VQ78" s="93"/>
      <c r="VR78" s="93"/>
      <c r="VS78" s="93"/>
      <c r="VT78" s="93"/>
      <c r="VU78" s="93"/>
      <c r="VV78" s="93"/>
      <c r="VW78" s="93"/>
      <c r="VX78" s="93"/>
      <c r="VY78" s="93"/>
      <c r="VZ78" s="93"/>
      <c r="WA78" s="93"/>
      <c r="WB78" s="93"/>
      <c r="WC78" s="93"/>
      <c r="WD78" s="93"/>
      <c r="WE78" s="93"/>
      <c r="WF78" s="93"/>
      <c r="WG78" s="93"/>
      <c r="WH78" s="93"/>
      <c r="WI78" s="93"/>
      <c r="WJ78" s="93"/>
      <c r="WK78" s="93"/>
      <c r="WL78" s="93"/>
      <c r="WM78" s="93"/>
      <c r="WN78" s="93"/>
      <c r="WO78" s="93"/>
      <c r="WP78" s="93"/>
      <c r="WQ78" s="93"/>
      <c r="WR78" s="93"/>
      <c r="WS78" s="93"/>
      <c r="WT78" s="93"/>
      <c r="WU78" s="93"/>
      <c r="WV78" s="93"/>
      <c r="WW78" s="93"/>
      <c r="WX78" s="93"/>
      <c r="WY78" s="93"/>
      <c r="WZ78" s="93"/>
      <c r="XA78" s="93"/>
      <c r="XB78" s="93"/>
      <c r="XC78" s="93"/>
      <c r="XD78" s="93"/>
      <c r="XE78" s="93"/>
      <c r="XF78" s="93"/>
      <c r="XG78" s="93"/>
      <c r="XH78" s="93"/>
      <c r="XI78" s="93"/>
      <c r="XJ78" s="93"/>
      <c r="XK78" s="93"/>
      <c r="XL78" s="93"/>
      <c r="XM78" s="93"/>
      <c r="XN78" s="93"/>
      <c r="XO78" s="93"/>
      <c r="XP78" s="93"/>
      <c r="XQ78" s="93"/>
      <c r="XR78" s="93"/>
      <c r="XS78" s="93"/>
      <c r="XT78" s="93"/>
      <c r="XU78" s="93"/>
      <c r="XV78" s="93"/>
      <c r="XW78" s="93"/>
      <c r="XX78" s="93"/>
      <c r="XY78" s="93"/>
      <c r="XZ78" s="93"/>
      <c r="YA78" s="93"/>
      <c r="YB78" s="93"/>
      <c r="YC78" s="93"/>
      <c r="YD78" s="93"/>
      <c r="YE78" s="93"/>
      <c r="YF78" s="93"/>
      <c r="YG78" s="93"/>
      <c r="YH78" s="93"/>
      <c r="YI78" s="93"/>
      <c r="YJ78" s="93"/>
      <c r="YK78" s="93"/>
      <c r="YL78" s="93"/>
      <c r="YM78" s="93"/>
      <c r="YN78" s="93"/>
      <c r="YO78" s="93"/>
      <c r="YP78" s="93"/>
      <c r="YQ78" s="93"/>
      <c r="YR78" s="93"/>
      <c r="YS78" s="93"/>
      <c r="YT78" s="93"/>
      <c r="YU78" s="93"/>
      <c r="YV78" s="93"/>
      <c r="YW78" s="93"/>
      <c r="YX78" s="93"/>
      <c r="YY78" s="93"/>
      <c r="YZ78" s="93"/>
      <c r="ZA78" s="93"/>
      <c r="ZB78" s="93"/>
      <c r="ZC78" s="93"/>
      <c r="ZD78" s="93"/>
      <c r="ZE78" s="93"/>
      <c r="ZF78" s="93"/>
      <c r="ZG78" s="93"/>
      <c r="ZH78" s="93"/>
      <c r="ZI78" s="93"/>
      <c r="ZJ78" s="93"/>
      <c r="ZK78" s="93"/>
      <c r="ZL78" s="93"/>
      <c r="ZM78" s="93"/>
      <c r="ZN78" s="93"/>
      <c r="ZO78" s="93"/>
      <c r="ZP78" s="93"/>
      <c r="ZQ78" s="93"/>
      <c r="ZR78" s="93"/>
      <c r="ZS78" s="93"/>
      <c r="ZT78" s="93"/>
      <c r="ZU78" s="93"/>
      <c r="ZV78" s="93"/>
      <c r="ZW78" s="93"/>
      <c r="ZX78" s="93"/>
      <c r="ZY78" s="93"/>
      <c r="ZZ78" s="93"/>
      <c r="AAA78" s="93"/>
      <c r="AAB78" s="93"/>
      <c r="AAC78" s="93"/>
      <c r="AAD78" s="93"/>
      <c r="AAE78" s="93"/>
      <c r="AAF78" s="93"/>
      <c r="AAG78" s="93"/>
      <c r="AAH78" s="93"/>
      <c r="AAI78" s="93"/>
      <c r="AAJ78" s="93"/>
      <c r="AAK78" s="93"/>
      <c r="AAL78" s="93"/>
      <c r="AAM78" s="93"/>
      <c r="AAN78" s="93"/>
      <c r="AAO78" s="93"/>
      <c r="AAP78" s="93"/>
      <c r="AAQ78" s="93"/>
      <c r="AAR78" s="93"/>
      <c r="AAS78" s="93"/>
      <c r="AAT78" s="93"/>
      <c r="AAU78" s="93"/>
      <c r="AAV78" s="93"/>
      <c r="AAW78" s="93"/>
      <c r="AAX78" s="93"/>
      <c r="AAY78" s="93"/>
      <c r="AAZ78" s="93"/>
      <c r="ABA78" s="93"/>
      <c r="ABB78" s="93"/>
      <c r="ABC78" s="93"/>
      <c r="ABD78" s="93"/>
      <c r="ABE78" s="93"/>
      <c r="ABF78" s="93"/>
      <c r="ABG78" s="93"/>
      <c r="ABH78" s="93"/>
      <c r="ABI78" s="93"/>
      <c r="ABJ78" s="93"/>
      <c r="ABK78" s="93"/>
      <c r="ABL78" s="93"/>
      <c r="ABM78" s="93"/>
      <c r="ABN78" s="93"/>
      <c r="ABO78" s="93"/>
      <c r="ABP78" s="93"/>
      <c r="ABQ78" s="93"/>
      <c r="ABR78" s="93"/>
      <c r="ABS78" s="93"/>
      <c r="ABT78" s="93"/>
      <c r="ABU78" s="93"/>
      <c r="ABV78" s="93"/>
      <c r="ABW78" s="93"/>
      <c r="ABX78" s="93"/>
      <c r="ABY78" s="93"/>
      <c r="ABZ78" s="93"/>
      <c r="ACA78" s="93"/>
      <c r="ACB78" s="93"/>
      <c r="ACC78" s="93"/>
      <c r="ACD78" s="93"/>
      <c r="ACE78" s="93"/>
      <c r="ACF78" s="93"/>
      <c r="ACG78" s="93"/>
      <c r="ACH78" s="93"/>
      <c r="ACI78" s="93"/>
      <c r="ACJ78" s="93"/>
      <c r="ACK78" s="93"/>
      <c r="ACL78" s="93"/>
      <c r="ACM78" s="93"/>
      <c r="ACN78" s="93"/>
      <c r="ACO78" s="93"/>
      <c r="ACP78" s="93"/>
      <c r="ACQ78" s="93"/>
      <c r="ACR78" s="93"/>
      <c r="ACS78" s="93"/>
      <c r="ACT78" s="93"/>
      <c r="ACU78" s="93"/>
      <c r="ACV78" s="93"/>
      <c r="ACW78" s="93"/>
      <c r="ACX78" s="93"/>
      <c r="ACY78" s="93"/>
      <c r="ACZ78" s="93"/>
      <c r="ADA78" s="93"/>
      <c r="ADB78" s="93"/>
      <c r="ADC78" s="93"/>
      <c r="ADD78" s="93"/>
      <c r="ADE78" s="93"/>
      <c r="ADF78" s="93"/>
      <c r="ADG78" s="93"/>
      <c r="ADH78" s="93"/>
      <c r="ADI78" s="93"/>
      <c r="ADJ78" s="93"/>
      <c r="ADK78" s="93"/>
      <c r="ADL78" s="93"/>
      <c r="ADM78" s="93"/>
      <c r="ADN78" s="93"/>
      <c r="ADO78" s="93"/>
      <c r="ADP78" s="93"/>
      <c r="ADQ78" s="93"/>
      <c r="ADR78" s="93"/>
      <c r="ADS78" s="93"/>
      <c r="ADT78" s="93"/>
      <c r="ADU78" s="93"/>
      <c r="ADV78" s="93"/>
      <c r="ADW78" s="93"/>
      <c r="ADX78" s="93"/>
      <c r="ADY78" s="93"/>
      <c r="ADZ78" s="93"/>
      <c r="AEA78" s="93"/>
      <c r="AEB78" s="93"/>
      <c r="AEC78" s="93"/>
      <c r="AED78" s="93"/>
      <c r="AEE78" s="93"/>
      <c r="AEF78" s="93"/>
      <c r="AEG78" s="93"/>
      <c r="AEH78" s="93"/>
      <c r="AEI78" s="93"/>
      <c r="AEJ78" s="93"/>
      <c r="AEK78" s="93"/>
      <c r="AEL78" s="93"/>
      <c r="AEM78" s="93"/>
      <c r="AEN78" s="93"/>
      <c r="AEO78" s="93"/>
      <c r="AEP78" s="93"/>
      <c r="AEQ78" s="93"/>
      <c r="AER78" s="93"/>
      <c r="AES78" s="93"/>
      <c r="AET78" s="93"/>
      <c r="AEU78" s="93"/>
      <c r="AEV78" s="93"/>
      <c r="AEW78" s="93"/>
      <c r="AEX78" s="93"/>
      <c r="AEY78" s="93"/>
      <c r="AEZ78" s="93"/>
      <c r="AFA78" s="93"/>
      <c r="AFB78" s="93"/>
      <c r="AFC78" s="93"/>
      <c r="AFD78" s="93"/>
      <c r="AFE78" s="93"/>
      <c r="AFF78" s="93"/>
      <c r="AFG78" s="93"/>
      <c r="AFH78" s="93"/>
      <c r="AFI78" s="93"/>
      <c r="AFJ78" s="93"/>
      <c r="AFK78" s="93"/>
      <c r="AFL78" s="93"/>
      <c r="AFM78" s="93"/>
      <c r="AFN78" s="93"/>
      <c r="AFO78" s="93"/>
      <c r="AFP78" s="93"/>
      <c r="AFQ78" s="93"/>
      <c r="AFR78" s="93"/>
      <c r="AFS78" s="93"/>
      <c r="AFT78" s="93"/>
      <c r="AFU78" s="93"/>
      <c r="AFV78" s="93"/>
      <c r="AFW78" s="93"/>
      <c r="AFX78" s="93"/>
      <c r="AFY78" s="93"/>
      <c r="AFZ78" s="93"/>
      <c r="AGA78" s="93"/>
      <c r="AGB78" s="93"/>
      <c r="AGC78" s="93"/>
      <c r="AGD78" s="93"/>
      <c r="AGE78" s="93"/>
      <c r="AGF78" s="93"/>
      <c r="AGG78" s="93"/>
      <c r="AGH78" s="93"/>
      <c r="AGI78" s="93"/>
      <c r="AGJ78" s="93"/>
      <c r="AGK78" s="93"/>
      <c r="AGL78" s="93"/>
      <c r="AGM78" s="93"/>
      <c r="AGN78" s="93"/>
      <c r="AGO78" s="93"/>
      <c r="AGP78" s="93"/>
      <c r="AGQ78" s="93"/>
      <c r="AGR78" s="93"/>
      <c r="AGS78" s="93"/>
      <c r="AGT78" s="93"/>
      <c r="AGU78" s="93"/>
      <c r="AGV78" s="93"/>
      <c r="AGW78" s="93"/>
      <c r="AGX78" s="93"/>
      <c r="AGY78" s="93"/>
      <c r="AGZ78" s="93"/>
      <c r="AHA78" s="93"/>
      <c r="AHB78" s="93"/>
      <c r="AHC78" s="93"/>
      <c r="AHD78" s="93"/>
      <c r="AHE78" s="93"/>
      <c r="AHF78" s="93"/>
      <c r="AHG78" s="93"/>
      <c r="AHH78" s="93"/>
      <c r="AHI78" s="93"/>
      <c r="AHJ78" s="93"/>
      <c r="AHK78" s="93"/>
      <c r="AHL78" s="93"/>
      <c r="AHM78" s="93"/>
      <c r="AHN78" s="93"/>
      <c r="AHO78" s="93"/>
      <c r="AHP78" s="93"/>
      <c r="AHQ78" s="93"/>
      <c r="AHR78" s="93"/>
      <c r="AHS78" s="93"/>
      <c r="AHT78" s="93"/>
      <c r="AHU78" s="93"/>
      <c r="AHV78" s="93"/>
      <c r="AHW78" s="93"/>
      <c r="AHX78" s="93"/>
      <c r="AHY78" s="93"/>
      <c r="AHZ78" s="93"/>
      <c r="AIA78" s="93"/>
      <c r="AIB78" s="93"/>
      <c r="AIC78" s="93"/>
      <c r="AID78" s="93"/>
      <c r="AIE78" s="93"/>
      <c r="AIF78" s="93"/>
      <c r="AIG78" s="93"/>
      <c r="AIH78" s="93"/>
      <c r="AII78" s="93"/>
      <c r="AIJ78" s="93"/>
      <c r="AIK78" s="93"/>
      <c r="AIL78" s="93"/>
      <c r="AIM78" s="93"/>
      <c r="AIN78" s="93"/>
      <c r="AIO78" s="93"/>
      <c r="AIP78" s="93"/>
      <c r="AIQ78" s="93"/>
      <c r="AIR78" s="93"/>
      <c r="AIS78" s="93"/>
      <c r="AIT78" s="93"/>
      <c r="AIU78" s="93"/>
      <c r="AIV78" s="93"/>
      <c r="AIW78" s="93"/>
      <c r="AIX78" s="93"/>
      <c r="AIY78" s="93"/>
      <c r="AIZ78" s="93"/>
      <c r="AJA78" s="93"/>
      <c r="AJB78" s="93"/>
      <c r="AJC78" s="93"/>
      <c r="AJD78" s="93"/>
      <c r="AJE78" s="93"/>
      <c r="AJF78" s="93"/>
      <c r="AJG78" s="93"/>
      <c r="AJH78" s="93"/>
      <c r="AJI78" s="93"/>
      <c r="AJJ78" s="93"/>
    </row>
    <row r="79" spans="1:946" s="360" customFormat="1">
      <c r="A79" s="141"/>
      <c r="B79" s="153" t="s">
        <v>114</v>
      </c>
      <c r="C79" s="140"/>
      <c r="D79" s="93"/>
      <c r="E79" s="152"/>
      <c r="F79" s="140"/>
      <c r="G79" s="114"/>
      <c r="H79" s="161"/>
      <c r="I79" s="150"/>
      <c r="J79" s="93"/>
      <c r="K79" s="93"/>
      <c r="L79" s="93"/>
      <c r="M79" s="132"/>
      <c r="N79" s="93"/>
      <c r="O79" s="93"/>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c r="AX79" s="93"/>
      <c r="AY79" s="93"/>
      <c r="AZ79" s="93"/>
      <c r="BA79" s="93"/>
      <c r="BB79" s="93"/>
      <c r="BC79" s="93"/>
      <c r="BD79" s="93"/>
      <c r="BE79" s="93"/>
      <c r="BF79" s="93"/>
      <c r="BG79" s="93"/>
      <c r="BH79" s="93"/>
      <c r="BI79" s="93"/>
      <c r="BJ79" s="93"/>
      <c r="BK79" s="93"/>
      <c r="BL79" s="93"/>
      <c r="BM79" s="93"/>
      <c r="BN79" s="93"/>
      <c r="BO79" s="93"/>
      <c r="BP79" s="93"/>
      <c r="BQ79" s="93"/>
      <c r="BR79" s="93"/>
      <c r="BS79" s="93"/>
      <c r="BT79" s="93"/>
      <c r="BU79" s="93"/>
      <c r="BV79" s="93"/>
      <c r="BW79" s="93"/>
      <c r="BX79" s="93"/>
      <c r="BY79" s="93"/>
      <c r="BZ79" s="93"/>
      <c r="CA79" s="93"/>
      <c r="CB79" s="93"/>
      <c r="CC79" s="93"/>
      <c r="CD79" s="93"/>
      <c r="CE79" s="93"/>
      <c r="CF79" s="93"/>
      <c r="CG79" s="93"/>
      <c r="CH79" s="93"/>
      <c r="CI79" s="93"/>
      <c r="CJ79" s="93"/>
      <c r="CK79" s="93"/>
      <c r="CL79" s="93"/>
      <c r="CM79" s="93"/>
      <c r="CN79" s="93"/>
      <c r="CO79" s="93"/>
      <c r="CP79" s="93"/>
      <c r="CQ79" s="93"/>
      <c r="CR79" s="93"/>
      <c r="CS79" s="93"/>
      <c r="CT79" s="93"/>
      <c r="CU79" s="93"/>
      <c r="CV79" s="93"/>
      <c r="CW79" s="93"/>
      <c r="CX79" s="93"/>
      <c r="CY79" s="93"/>
      <c r="CZ79" s="93"/>
      <c r="DA79" s="93"/>
      <c r="DB79" s="93"/>
      <c r="DC79" s="93"/>
      <c r="DD79" s="93"/>
      <c r="DE79" s="93"/>
      <c r="DF79" s="93"/>
      <c r="DG79" s="93"/>
      <c r="DH79" s="93"/>
      <c r="DI79" s="93"/>
      <c r="DJ79" s="93"/>
      <c r="DK79" s="93"/>
      <c r="DL79" s="93"/>
      <c r="DM79" s="93"/>
      <c r="DN79" s="93"/>
      <c r="DO79" s="93"/>
      <c r="DP79" s="93"/>
      <c r="DQ79" s="93"/>
      <c r="DR79" s="93"/>
      <c r="DS79" s="93"/>
      <c r="DT79" s="93"/>
      <c r="DU79" s="93"/>
      <c r="DV79" s="93"/>
      <c r="DW79" s="93"/>
      <c r="DX79" s="93"/>
      <c r="DY79" s="93"/>
      <c r="DZ79" s="93"/>
      <c r="EA79" s="93"/>
      <c r="EB79" s="93"/>
      <c r="EC79" s="93"/>
      <c r="ED79" s="93"/>
      <c r="EE79" s="93"/>
      <c r="EF79" s="93"/>
      <c r="EG79" s="93"/>
      <c r="EH79" s="93"/>
      <c r="EI79" s="93"/>
      <c r="EJ79" s="93"/>
      <c r="EK79" s="93"/>
      <c r="EL79" s="93"/>
      <c r="EM79" s="93"/>
      <c r="EN79" s="93"/>
      <c r="EO79" s="93"/>
      <c r="EP79" s="93"/>
      <c r="EQ79" s="93"/>
      <c r="ER79" s="93"/>
      <c r="ES79" s="93"/>
      <c r="ET79" s="93"/>
      <c r="EU79" s="93"/>
      <c r="EV79" s="93"/>
      <c r="EW79" s="93"/>
      <c r="EX79" s="93"/>
      <c r="EY79" s="93"/>
      <c r="EZ79" s="93"/>
      <c r="FA79" s="93"/>
      <c r="FB79" s="93"/>
      <c r="FC79" s="93"/>
      <c r="FD79" s="93"/>
      <c r="FE79" s="93"/>
      <c r="FF79" s="93"/>
      <c r="FG79" s="93"/>
      <c r="FH79" s="93"/>
      <c r="FI79" s="93"/>
      <c r="FJ79" s="93"/>
      <c r="FK79" s="93"/>
      <c r="FL79" s="93"/>
      <c r="FM79" s="93"/>
      <c r="FN79" s="93"/>
      <c r="FO79" s="93"/>
      <c r="FP79" s="93"/>
      <c r="FQ79" s="93"/>
      <c r="FR79" s="93"/>
      <c r="FS79" s="93"/>
      <c r="FT79" s="93"/>
      <c r="FU79" s="93"/>
      <c r="FV79" s="93"/>
      <c r="FW79" s="93"/>
      <c r="FX79" s="93"/>
      <c r="FY79" s="93"/>
      <c r="FZ79" s="93"/>
      <c r="GA79" s="93"/>
      <c r="GB79" s="93"/>
      <c r="GC79" s="93"/>
      <c r="GD79" s="93"/>
      <c r="GE79" s="93"/>
      <c r="GF79" s="93"/>
      <c r="GG79" s="93"/>
      <c r="GH79" s="93"/>
      <c r="GI79" s="93"/>
      <c r="GJ79" s="93"/>
      <c r="GK79" s="93"/>
      <c r="GL79" s="93"/>
      <c r="GM79" s="93"/>
      <c r="GN79" s="93"/>
      <c r="GO79" s="93"/>
      <c r="GP79" s="93"/>
      <c r="GQ79" s="93"/>
      <c r="GR79" s="93"/>
      <c r="GS79" s="93"/>
      <c r="GT79" s="93"/>
      <c r="GU79" s="93"/>
      <c r="GV79" s="93"/>
      <c r="GW79" s="93"/>
      <c r="GX79" s="93"/>
      <c r="GY79" s="93"/>
      <c r="GZ79" s="93"/>
      <c r="HA79" s="93"/>
      <c r="HB79" s="93"/>
      <c r="HC79" s="93"/>
      <c r="HD79" s="93"/>
      <c r="HE79" s="93"/>
      <c r="HF79" s="93"/>
      <c r="HG79" s="93"/>
      <c r="HH79" s="93"/>
      <c r="HI79" s="93"/>
      <c r="HJ79" s="93"/>
      <c r="HK79" s="93"/>
      <c r="HL79" s="93"/>
      <c r="HM79" s="93"/>
      <c r="HN79" s="93"/>
      <c r="HO79" s="93"/>
      <c r="HP79" s="93"/>
      <c r="HQ79" s="93"/>
      <c r="HR79" s="93"/>
      <c r="HS79" s="93"/>
      <c r="HT79" s="93"/>
      <c r="HU79" s="93"/>
      <c r="HV79" s="93"/>
      <c r="HW79" s="93"/>
      <c r="HX79" s="93"/>
      <c r="HY79" s="93"/>
      <c r="HZ79" s="93"/>
      <c r="IA79" s="93"/>
      <c r="IB79" s="93"/>
      <c r="IC79" s="93"/>
      <c r="ID79" s="93"/>
      <c r="IE79" s="93"/>
      <c r="IF79" s="93"/>
      <c r="IG79" s="93"/>
      <c r="IH79" s="93"/>
      <c r="II79" s="93"/>
      <c r="IJ79" s="93"/>
      <c r="IK79" s="93"/>
      <c r="IL79" s="93"/>
      <c r="IM79" s="93"/>
      <c r="IN79" s="93"/>
      <c r="IO79" s="93"/>
      <c r="IP79" s="93"/>
      <c r="IQ79" s="93"/>
      <c r="IR79" s="93"/>
      <c r="IS79" s="93"/>
      <c r="IT79" s="93"/>
      <c r="IU79" s="93"/>
      <c r="IV79" s="93"/>
      <c r="IW79" s="93"/>
      <c r="IX79" s="93"/>
      <c r="IY79" s="93"/>
      <c r="IZ79" s="93"/>
      <c r="JA79" s="93"/>
      <c r="JB79" s="93"/>
      <c r="JC79" s="93"/>
      <c r="JD79" s="93"/>
      <c r="JE79" s="93"/>
      <c r="JF79" s="93"/>
      <c r="JG79" s="93"/>
      <c r="JH79" s="93"/>
      <c r="JI79" s="93"/>
      <c r="JJ79" s="93"/>
      <c r="JK79" s="93"/>
      <c r="JL79" s="93"/>
      <c r="JM79" s="93"/>
      <c r="JN79" s="93"/>
      <c r="JO79" s="93"/>
      <c r="JP79" s="93"/>
      <c r="JQ79" s="93"/>
      <c r="JR79" s="93"/>
      <c r="JS79" s="93"/>
      <c r="JT79" s="93"/>
      <c r="JU79" s="93"/>
      <c r="JV79" s="93"/>
      <c r="JW79" s="93"/>
      <c r="JX79" s="93"/>
      <c r="JY79" s="93"/>
      <c r="JZ79" s="93"/>
      <c r="KA79" s="93"/>
      <c r="KB79" s="93"/>
      <c r="KC79" s="93"/>
      <c r="KD79" s="93"/>
      <c r="KE79" s="93"/>
      <c r="KF79" s="93"/>
      <c r="KG79" s="93"/>
      <c r="KH79" s="93"/>
      <c r="KI79" s="93"/>
      <c r="KJ79" s="93"/>
      <c r="KK79" s="93"/>
      <c r="KL79" s="93"/>
      <c r="KM79" s="93"/>
      <c r="KN79" s="93"/>
      <c r="KO79" s="93"/>
      <c r="KP79" s="93"/>
      <c r="KQ79" s="93"/>
      <c r="KR79" s="93"/>
      <c r="KS79" s="93"/>
      <c r="KT79" s="93"/>
      <c r="KU79" s="93"/>
      <c r="KV79" s="93"/>
      <c r="KW79" s="93"/>
      <c r="KX79" s="93"/>
      <c r="KY79" s="93"/>
      <c r="KZ79" s="93"/>
      <c r="LA79" s="93"/>
      <c r="LB79" s="93"/>
      <c r="LC79" s="93"/>
      <c r="LD79" s="93"/>
      <c r="LE79" s="93"/>
      <c r="LF79" s="93"/>
      <c r="LG79" s="93"/>
      <c r="LH79" s="93"/>
      <c r="LI79" s="93"/>
      <c r="LJ79" s="93"/>
      <c r="LK79" s="93"/>
      <c r="LL79" s="93"/>
      <c r="LM79" s="93"/>
      <c r="LN79" s="93"/>
      <c r="LO79" s="93"/>
      <c r="LP79" s="93"/>
      <c r="LQ79" s="93"/>
      <c r="LR79" s="93"/>
      <c r="LS79" s="93"/>
      <c r="LT79" s="93"/>
      <c r="LU79" s="93"/>
      <c r="LV79" s="93"/>
      <c r="LW79" s="93"/>
      <c r="LX79" s="93"/>
      <c r="LY79" s="93"/>
      <c r="LZ79" s="93"/>
      <c r="MA79" s="93"/>
      <c r="MB79" s="93"/>
      <c r="MC79" s="93"/>
      <c r="MD79" s="93"/>
      <c r="ME79" s="93"/>
      <c r="MF79" s="93"/>
      <c r="MG79" s="93"/>
      <c r="MH79" s="93"/>
      <c r="MI79" s="93"/>
      <c r="MJ79" s="93"/>
      <c r="MK79" s="93"/>
      <c r="ML79" s="93"/>
      <c r="MM79" s="93"/>
      <c r="MN79" s="93"/>
      <c r="MO79" s="93"/>
      <c r="MP79" s="93"/>
      <c r="MQ79" s="93"/>
      <c r="MR79" s="93"/>
      <c r="MS79" s="93"/>
      <c r="MT79" s="93"/>
      <c r="MU79" s="93"/>
      <c r="MV79" s="93"/>
      <c r="MW79" s="93"/>
      <c r="MX79" s="93"/>
      <c r="MY79" s="93"/>
      <c r="MZ79" s="93"/>
      <c r="NA79" s="93"/>
      <c r="NB79" s="93"/>
      <c r="NC79" s="93"/>
      <c r="ND79" s="93"/>
      <c r="NE79" s="93"/>
      <c r="NF79" s="93"/>
      <c r="NG79" s="93"/>
      <c r="NH79" s="93"/>
      <c r="NI79" s="93"/>
      <c r="NJ79" s="93"/>
      <c r="NK79" s="93"/>
      <c r="NL79" s="93"/>
      <c r="NM79" s="93"/>
      <c r="NN79" s="93"/>
      <c r="NO79" s="93"/>
      <c r="NP79" s="93"/>
      <c r="NQ79" s="93"/>
      <c r="NR79" s="93"/>
      <c r="NS79" s="93"/>
      <c r="NT79" s="93"/>
      <c r="NU79" s="93"/>
      <c r="NV79" s="93"/>
      <c r="NW79" s="93"/>
      <c r="NX79" s="93"/>
      <c r="NY79" s="93"/>
      <c r="NZ79" s="93"/>
      <c r="OA79" s="93"/>
      <c r="OB79" s="93"/>
      <c r="OC79" s="93"/>
      <c r="OD79" s="93"/>
      <c r="OE79" s="93"/>
      <c r="OF79" s="93"/>
      <c r="OG79" s="93"/>
      <c r="OH79" s="93"/>
      <c r="OI79" s="93"/>
      <c r="OJ79" s="93"/>
      <c r="OK79" s="93"/>
      <c r="OL79" s="93"/>
      <c r="OM79" s="93"/>
      <c r="ON79" s="93"/>
      <c r="OO79" s="93"/>
      <c r="OP79" s="93"/>
      <c r="OQ79" s="93"/>
      <c r="OR79" s="93"/>
      <c r="OS79" s="93"/>
      <c r="OT79" s="93"/>
      <c r="OU79" s="93"/>
      <c r="OV79" s="93"/>
      <c r="OW79" s="93"/>
      <c r="OX79" s="93"/>
      <c r="OY79" s="93"/>
      <c r="OZ79" s="93"/>
      <c r="PA79" s="93"/>
      <c r="PB79" s="93"/>
      <c r="PC79" s="93"/>
      <c r="PD79" s="93"/>
      <c r="PE79" s="93"/>
      <c r="PF79" s="93"/>
      <c r="PG79" s="93"/>
      <c r="PH79" s="93"/>
      <c r="PI79" s="93"/>
      <c r="PJ79" s="93"/>
      <c r="PK79" s="93"/>
      <c r="PL79" s="93"/>
      <c r="PM79" s="93"/>
      <c r="PN79" s="93"/>
      <c r="PO79" s="93"/>
      <c r="PP79" s="93"/>
      <c r="PQ79" s="93"/>
      <c r="PR79" s="93"/>
      <c r="PS79" s="93"/>
      <c r="PT79" s="93"/>
      <c r="PU79" s="93"/>
      <c r="PV79" s="93"/>
      <c r="PW79" s="93"/>
      <c r="PX79" s="93"/>
      <c r="PY79" s="93"/>
      <c r="PZ79" s="93"/>
      <c r="QA79" s="93"/>
      <c r="QB79" s="93"/>
      <c r="QC79" s="93"/>
      <c r="QD79" s="93"/>
      <c r="QE79" s="93"/>
      <c r="QF79" s="93"/>
      <c r="QG79" s="93"/>
      <c r="QH79" s="93"/>
      <c r="QI79" s="93"/>
      <c r="QJ79" s="93"/>
      <c r="QK79" s="93"/>
      <c r="QL79" s="93"/>
      <c r="QM79" s="93"/>
      <c r="QN79" s="93"/>
      <c r="QO79" s="93"/>
      <c r="QP79" s="93"/>
      <c r="QQ79" s="93"/>
      <c r="QR79" s="93"/>
      <c r="QS79" s="93"/>
      <c r="QT79" s="93"/>
      <c r="QU79" s="93"/>
      <c r="QV79" s="93"/>
      <c r="QW79" s="93"/>
      <c r="QX79" s="93"/>
      <c r="QY79" s="93"/>
      <c r="QZ79" s="93"/>
      <c r="RA79" s="93"/>
      <c r="RB79" s="93"/>
      <c r="RC79" s="93"/>
      <c r="RD79" s="93"/>
      <c r="RE79" s="93"/>
      <c r="RF79" s="93"/>
      <c r="RG79" s="93"/>
      <c r="RH79" s="93"/>
      <c r="RI79" s="93"/>
      <c r="RJ79" s="93"/>
      <c r="RK79" s="93"/>
      <c r="RL79" s="93"/>
      <c r="RM79" s="93"/>
      <c r="RN79" s="93"/>
      <c r="RO79" s="93"/>
      <c r="RP79" s="93"/>
      <c r="RQ79" s="93"/>
      <c r="RR79" s="93"/>
      <c r="RS79" s="93"/>
      <c r="RT79" s="93"/>
      <c r="RU79" s="93"/>
      <c r="RV79" s="93"/>
      <c r="RW79" s="93"/>
      <c r="RX79" s="93"/>
      <c r="RY79" s="93"/>
      <c r="RZ79" s="93"/>
      <c r="SA79" s="93"/>
      <c r="SB79" s="93"/>
      <c r="SC79" s="93"/>
      <c r="SD79" s="93"/>
      <c r="SE79" s="93"/>
      <c r="SF79" s="93"/>
      <c r="SG79" s="93"/>
      <c r="SH79" s="93"/>
      <c r="SI79" s="93"/>
      <c r="SJ79" s="93"/>
      <c r="SK79" s="93"/>
      <c r="SL79" s="93"/>
      <c r="SM79" s="93"/>
      <c r="SN79" s="93"/>
      <c r="SO79" s="93"/>
      <c r="SP79" s="93"/>
      <c r="SQ79" s="93"/>
      <c r="SR79" s="93"/>
      <c r="SS79" s="93"/>
      <c r="ST79" s="93"/>
      <c r="SU79" s="93"/>
      <c r="SV79" s="93"/>
      <c r="SW79" s="93"/>
      <c r="SX79" s="93"/>
      <c r="SY79" s="93"/>
      <c r="SZ79" s="93"/>
      <c r="TA79" s="93"/>
      <c r="TB79" s="93"/>
      <c r="TC79" s="93"/>
      <c r="TD79" s="93"/>
      <c r="TE79" s="93"/>
      <c r="TF79" s="93"/>
      <c r="TG79" s="93"/>
      <c r="TH79" s="93"/>
      <c r="TI79" s="93"/>
      <c r="TJ79" s="93"/>
      <c r="TK79" s="93"/>
      <c r="TL79" s="93"/>
      <c r="TM79" s="93"/>
      <c r="TN79" s="93"/>
      <c r="TO79" s="93"/>
      <c r="TP79" s="93"/>
      <c r="TQ79" s="93"/>
      <c r="TR79" s="93"/>
      <c r="TS79" s="93"/>
      <c r="TT79" s="93"/>
      <c r="TU79" s="93"/>
      <c r="TV79" s="93"/>
      <c r="TW79" s="93"/>
      <c r="TX79" s="93"/>
      <c r="TY79" s="93"/>
      <c r="TZ79" s="93"/>
      <c r="UA79" s="93"/>
      <c r="UB79" s="93"/>
      <c r="UC79" s="93"/>
      <c r="UD79" s="93"/>
      <c r="UE79" s="93"/>
      <c r="UF79" s="93"/>
      <c r="UG79" s="93"/>
      <c r="UH79" s="93"/>
      <c r="UI79" s="93"/>
      <c r="UJ79" s="93"/>
      <c r="UK79" s="93"/>
      <c r="UL79" s="93"/>
      <c r="UM79" s="93"/>
      <c r="UN79" s="93"/>
      <c r="UO79" s="93"/>
      <c r="UP79" s="93"/>
      <c r="UQ79" s="93"/>
      <c r="UR79" s="93"/>
      <c r="US79" s="93"/>
      <c r="UT79" s="93"/>
      <c r="UU79" s="93"/>
      <c r="UV79" s="93"/>
      <c r="UW79" s="93"/>
      <c r="UX79" s="93"/>
      <c r="UY79" s="93"/>
      <c r="UZ79" s="93"/>
      <c r="VA79" s="93"/>
      <c r="VB79" s="93"/>
      <c r="VC79" s="93"/>
      <c r="VD79" s="93"/>
      <c r="VE79" s="93"/>
      <c r="VF79" s="93"/>
      <c r="VG79" s="93"/>
      <c r="VH79" s="93"/>
      <c r="VI79" s="93"/>
      <c r="VJ79" s="93"/>
      <c r="VK79" s="93"/>
      <c r="VL79" s="93"/>
      <c r="VM79" s="93"/>
      <c r="VN79" s="93"/>
      <c r="VO79" s="93"/>
      <c r="VP79" s="93"/>
      <c r="VQ79" s="93"/>
      <c r="VR79" s="93"/>
      <c r="VS79" s="93"/>
      <c r="VT79" s="93"/>
      <c r="VU79" s="93"/>
      <c r="VV79" s="93"/>
      <c r="VW79" s="93"/>
      <c r="VX79" s="93"/>
      <c r="VY79" s="93"/>
      <c r="VZ79" s="93"/>
      <c r="WA79" s="93"/>
      <c r="WB79" s="93"/>
      <c r="WC79" s="93"/>
      <c r="WD79" s="93"/>
      <c r="WE79" s="93"/>
      <c r="WF79" s="93"/>
      <c r="WG79" s="93"/>
      <c r="WH79" s="93"/>
      <c r="WI79" s="93"/>
      <c r="WJ79" s="93"/>
      <c r="WK79" s="93"/>
      <c r="WL79" s="93"/>
      <c r="WM79" s="93"/>
      <c r="WN79" s="93"/>
      <c r="WO79" s="93"/>
      <c r="WP79" s="93"/>
      <c r="WQ79" s="93"/>
      <c r="WR79" s="93"/>
      <c r="WS79" s="93"/>
      <c r="WT79" s="93"/>
      <c r="WU79" s="93"/>
      <c r="WV79" s="93"/>
      <c r="WW79" s="93"/>
      <c r="WX79" s="93"/>
      <c r="WY79" s="93"/>
      <c r="WZ79" s="93"/>
      <c r="XA79" s="93"/>
      <c r="XB79" s="93"/>
      <c r="XC79" s="93"/>
      <c r="XD79" s="93"/>
      <c r="XE79" s="93"/>
      <c r="XF79" s="93"/>
      <c r="XG79" s="93"/>
      <c r="XH79" s="93"/>
      <c r="XI79" s="93"/>
      <c r="XJ79" s="93"/>
      <c r="XK79" s="93"/>
      <c r="XL79" s="93"/>
      <c r="XM79" s="93"/>
      <c r="XN79" s="93"/>
      <c r="XO79" s="93"/>
      <c r="XP79" s="93"/>
      <c r="XQ79" s="93"/>
      <c r="XR79" s="93"/>
      <c r="XS79" s="93"/>
      <c r="XT79" s="93"/>
      <c r="XU79" s="93"/>
      <c r="XV79" s="93"/>
      <c r="XW79" s="93"/>
      <c r="XX79" s="93"/>
      <c r="XY79" s="93"/>
      <c r="XZ79" s="93"/>
      <c r="YA79" s="93"/>
      <c r="YB79" s="93"/>
      <c r="YC79" s="93"/>
      <c r="YD79" s="93"/>
      <c r="YE79" s="93"/>
      <c r="YF79" s="93"/>
      <c r="YG79" s="93"/>
      <c r="YH79" s="93"/>
      <c r="YI79" s="93"/>
      <c r="YJ79" s="93"/>
      <c r="YK79" s="93"/>
      <c r="YL79" s="93"/>
      <c r="YM79" s="93"/>
      <c r="YN79" s="93"/>
      <c r="YO79" s="93"/>
      <c r="YP79" s="93"/>
      <c r="YQ79" s="93"/>
      <c r="YR79" s="93"/>
      <c r="YS79" s="93"/>
      <c r="YT79" s="93"/>
      <c r="YU79" s="93"/>
      <c r="YV79" s="93"/>
      <c r="YW79" s="93"/>
      <c r="YX79" s="93"/>
      <c r="YY79" s="93"/>
      <c r="YZ79" s="93"/>
      <c r="ZA79" s="93"/>
      <c r="ZB79" s="93"/>
      <c r="ZC79" s="93"/>
      <c r="ZD79" s="93"/>
      <c r="ZE79" s="93"/>
      <c r="ZF79" s="93"/>
      <c r="ZG79" s="93"/>
      <c r="ZH79" s="93"/>
      <c r="ZI79" s="93"/>
      <c r="ZJ79" s="93"/>
      <c r="ZK79" s="93"/>
      <c r="ZL79" s="93"/>
      <c r="ZM79" s="93"/>
      <c r="ZN79" s="93"/>
      <c r="ZO79" s="93"/>
      <c r="ZP79" s="93"/>
      <c r="ZQ79" s="93"/>
      <c r="ZR79" s="93"/>
      <c r="ZS79" s="93"/>
      <c r="ZT79" s="93"/>
      <c r="ZU79" s="93"/>
      <c r="ZV79" s="93"/>
      <c r="ZW79" s="93"/>
      <c r="ZX79" s="93"/>
      <c r="ZY79" s="93"/>
      <c r="ZZ79" s="93"/>
      <c r="AAA79" s="93"/>
      <c r="AAB79" s="93"/>
      <c r="AAC79" s="93"/>
      <c r="AAD79" s="93"/>
      <c r="AAE79" s="93"/>
      <c r="AAF79" s="93"/>
      <c r="AAG79" s="93"/>
      <c r="AAH79" s="93"/>
      <c r="AAI79" s="93"/>
      <c r="AAJ79" s="93"/>
      <c r="AAK79" s="93"/>
      <c r="AAL79" s="93"/>
      <c r="AAM79" s="93"/>
      <c r="AAN79" s="93"/>
      <c r="AAO79" s="93"/>
      <c r="AAP79" s="93"/>
      <c r="AAQ79" s="93"/>
      <c r="AAR79" s="93"/>
      <c r="AAS79" s="93"/>
      <c r="AAT79" s="93"/>
      <c r="AAU79" s="93"/>
      <c r="AAV79" s="93"/>
      <c r="AAW79" s="93"/>
      <c r="AAX79" s="93"/>
      <c r="AAY79" s="93"/>
      <c r="AAZ79" s="93"/>
      <c r="ABA79" s="93"/>
      <c r="ABB79" s="93"/>
      <c r="ABC79" s="93"/>
      <c r="ABD79" s="93"/>
      <c r="ABE79" s="93"/>
      <c r="ABF79" s="93"/>
      <c r="ABG79" s="93"/>
      <c r="ABH79" s="93"/>
      <c r="ABI79" s="93"/>
      <c r="ABJ79" s="93"/>
      <c r="ABK79" s="93"/>
      <c r="ABL79" s="93"/>
      <c r="ABM79" s="93"/>
      <c r="ABN79" s="93"/>
      <c r="ABO79" s="93"/>
      <c r="ABP79" s="93"/>
      <c r="ABQ79" s="93"/>
      <c r="ABR79" s="93"/>
      <c r="ABS79" s="93"/>
      <c r="ABT79" s="93"/>
      <c r="ABU79" s="93"/>
      <c r="ABV79" s="93"/>
      <c r="ABW79" s="93"/>
      <c r="ABX79" s="93"/>
      <c r="ABY79" s="93"/>
      <c r="ABZ79" s="93"/>
      <c r="ACA79" s="93"/>
      <c r="ACB79" s="93"/>
      <c r="ACC79" s="93"/>
      <c r="ACD79" s="93"/>
      <c r="ACE79" s="93"/>
      <c r="ACF79" s="93"/>
      <c r="ACG79" s="93"/>
      <c r="ACH79" s="93"/>
      <c r="ACI79" s="93"/>
      <c r="ACJ79" s="93"/>
      <c r="ACK79" s="93"/>
      <c r="ACL79" s="93"/>
      <c r="ACM79" s="93"/>
      <c r="ACN79" s="93"/>
      <c r="ACO79" s="93"/>
      <c r="ACP79" s="93"/>
      <c r="ACQ79" s="93"/>
      <c r="ACR79" s="93"/>
      <c r="ACS79" s="93"/>
      <c r="ACT79" s="93"/>
      <c r="ACU79" s="93"/>
      <c r="ACV79" s="93"/>
      <c r="ACW79" s="93"/>
      <c r="ACX79" s="93"/>
      <c r="ACY79" s="93"/>
      <c r="ACZ79" s="93"/>
      <c r="ADA79" s="93"/>
      <c r="ADB79" s="93"/>
      <c r="ADC79" s="93"/>
      <c r="ADD79" s="93"/>
      <c r="ADE79" s="93"/>
      <c r="ADF79" s="93"/>
      <c r="ADG79" s="93"/>
      <c r="ADH79" s="93"/>
      <c r="ADI79" s="93"/>
      <c r="ADJ79" s="93"/>
      <c r="ADK79" s="93"/>
      <c r="ADL79" s="93"/>
      <c r="ADM79" s="93"/>
      <c r="ADN79" s="93"/>
      <c r="ADO79" s="93"/>
      <c r="ADP79" s="93"/>
      <c r="ADQ79" s="93"/>
      <c r="ADR79" s="93"/>
      <c r="ADS79" s="93"/>
      <c r="ADT79" s="93"/>
      <c r="ADU79" s="93"/>
      <c r="ADV79" s="93"/>
      <c r="ADW79" s="93"/>
      <c r="ADX79" s="93"/>
      <c r="ADY79" s="93"/>
      <c r="ADZ79" s="93"/>
      <c r="AEA79" s="93"/>
      <c r="AEB79" s="93"/>
      <c r="AEC79" s="93"/>
      <c r="AED79" s="93"/>
      <c r="AEE79" s="93"/>
      <c r="AEF79" s="93"/>
      <c r="AEG79" s="93"/>
      <c r="AEH79" s="93"/>
      <c r="AEI79" s="93"/>
      <c r="AEJ79" s="93"/>
      <c r="AEK79" s="93"/>
      <c r="AEL79" s="93"/>
      <c r="AEM79" s="93"/>
      <c r="AEN79" s="93"/>
      <c r="AEO79" s="93"/>
      <c r="AEP79" s="93"/>
      <c r="AEQ79" s="93"/>
      <c r="AER79" s="93"/>
      <c r="AES79" s="93"/>
      <c r="AET79" s="93"/>
      <c r="AEU79" s="93"/>
      <c r="AEV79" s="93"/>
      <c r="AEW79" s="93"/>
      <c r="AEX79" s="93"/>
      <c r="AEY79" s="93"/>
      <c r="AEZ79" s="93"/>
      <c r="AFA79" s="93"/>
      <c r="AFB79" s="93"/>
      <c r="AFC79" s="93"/>
      <c r="AFD79" s="93"/>
      <c r="AFE79" s="93"/>
      <c r="AFF79" s="93"/>
      <c r="AFG79" s="93"/>
      <c r="AFH79" s="93"/>
      <c r="AFI79" s="93"/>
      <c r="AFJ79" s="93"/>
      <c r="AFK79" s="93"/>
      <c r="AFL79" s="93"/>
      <c r="AFM79" s="93"/>
      <c r="AFN79" s="93"/>
      <c r="AFO79" s="93"/>
      <c r="AFP79" s="93"/>
      <c r="AFQ79" s="93"/>
      <c r="AFR79" s="93"/>
      <c r="AFS79" s="93"/>
      <c r="AFT79" s="93"/>
      <c r="AFU79" s="93"/>
      <c r="AFV79" s="93"/>
      <c r="AFW79" s="93"/>
      <c r="AFX79" s="93"/>
      <c r="AFY79" s="93"/>
      <c r="AFZ79" s="93"/>
      <c r="AGA79" s="93"/>
      <c r="AGB79" s="93"/>
      <c r="AGC79" s="93"/>
      <c r="AGD79" s="93"/>
      <c r="AGE79" s="93"/>
      <c r="AGF79" s="93"/>
      <c r="AGG79" s="93"/>
      <c r="AGH79" s="93"/>
      <c r="AGI79" s="93"/>
      <c r="AGJ79" s="93"/>
      <c r="AGK79" s="93"/>
      <c r="AGL79" s="93"/>
      <c r="AGM79" s="93"/>
      <c r="AGN79" s="93"/>
      <c r="AGO79" s="93"/>
      <c r="AGP79" s="93"/>
      <c r="AGQ79" s="93"/>
      <c r="AGR79" s="93"/>
      <c r="AGS79" s="93"/>
      <c r="AGT79" s="93"/>
      <c r="AGU79" s="93"/>
      <c r="AGV79" s="93"/>
      <c r="AGW79" s="93"/>
      <c r="AGX79" s="93"/>
      <c r="AGY79" s="93"/>
      <c r="AGZ79" s="93"/>
      <c r="AHA79" s="93"/>
      <c r="AHB79" s="93"/>
      <c r="AHC79" s="93"/>
      <c r="AHD79" s="93"/>
      <c r="AHE79" s="93"/>
      <c r="AHF79" s="93"/>
      <c r="AHG79" s="93"/>
      <c r="AHH79" s="93"/>
      <c r="AHI79" s="93"/>
      <c r="AHJ79" s="93"/>
      <c r="AHK79" s="93"/>
      <c r="AHL79" s="93"/>
      <c r="AHM79" s="93"/>
      <c r="AHN79" s="93"/>
      <c r="AHO79" s="93"/>
      <c r="AHP79" s="93"/>
      <c r="AHQ79" s="93"/>
      <c r="AHR79" s="93"/>
      <c r="AHS79" s="93"/>
      <c r="AHT79" s="93"/>
      <c r="AHU79" s="93"/>
      <c r="AHV79" s="93"/>
      <c r="AHW79" s="93"/>
      <c r="AHX79" s="93"/>
      <c r="AHY79" s="93"/>
      <c r="AHZ79" s="93"/>
      <c r="AIA79" s="93"/>
      <c r="AIB79" s="93"/>
      <c r="AIC79" s="93"/>
      <c r="AID79" s="93"/>
      <c r="AIE79" s="93"/>
      <c r="AIF79" s="93"/>
      <c r="AIG79" s="93"/>
      <c r="AIH79" s="93"/>
      <c r="AII79" s="93"/>
      <c r="AIJ79" s="93"/>
      <c r="AIK79" s="93"/>
      <c r="AIL79" s="93"/>
      <c r="AIM79" s="93"/>
      <c r="AIN79" s="93"/>
      <c r="AIO79" s="93"/>
      <c r="AIP79" s="93"/>
      <c r="AIQ79" s="93"/>
      <c r="AIR79" s="93"/>
      <c r="AIS79" s="93"/>
      <c r="AIT79" s="93"/>
      <c r="AIU79" s="93"/>
      <c r="AIV79" s="93"/>
      <c r="AIW79" s="93"/>
      <c r="AIX79" s="93"/>
      <c r="AIY79" s="93"/>
      <c r="AIZ79" s="93"/>
      <c r="AJA79" s="93"/>
      <c r="AJB79" s="93"/>
      <c r="AJC79" s="93"/>
      <c r="AJD79" s="93"/>
      <c r="AJE79" s="93"/>
      <c r="AJF79" s="93"/>
      <c r="AJG79" s="93"/>
      <c r="AJH79" s="93"/>
      <c r="AJI79" s="93"/>
      <c r="AJJ79" s="93"/>
    </row>
    <row r="80" spans="1:946" s="360" customFormat="1" ht="15">
      <c r="A80" s="141"/>
      <c r="B80" s="153"/>
      <c r="C80" s="140"/>
      <c r="D80" s="93"/>
      <c r="E80" s="152"/>
      <c r="F80" s="140"/>
      <c r="G80" s="114"/>
      <c r="H80" s="161"/>
      <c r="I80" s="150"/>
      <c r="J80" s="683"/>
      <c r="K80" s="93"/>
      <c r="L80" s="93"/>
      <c r="M80" s="132"/>
      <c r="N80" s="93"/>
      <c r="O80" s="93"/>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c r="AX80" s="93"/>
      <c r="AY80" s="93"/>
      <c r="AZ80" s="93"/>
      <c r="BA80" s="93"/>
      <c r="BB80" s="93"/>
      <c r="BC80" s="93"/>
      <c r="BD80" s="93"/>
      <c r="BE80" s="93"/>
      <c r="BF80" s="93"/>
      <c r="BG80" s="93"/>
      <c r="BH80" s="93"/>
      <c r="BI80" s="93"/>
      <c r="BJ80" s="93"/>
      <c r="BK80" s="93"/>
      <c r="BL80" s="93"/>
      <c r="BM80" s="93"/>
      <c r="BN80" s="93"/>
      <c r="BO80" s="93"/>
      <c r="BP80" s="93"/>
      <c r="BQ80" s="93"/>
      <c r="BR80" s="93"/>
      <c r="BS80" s="93"/>
      <c r="BT80" s="93"/>
      <c r="BU80" s="93"/>
      <c r="BV80" s="93"/>
      <c r="BW80" s="93"/>
      <c r="BX80" s="93"/>
      <c r="BY80" s="93"/>
      <c r="BZ80" s="93"/>
      <c r="CA80" s="93"/>
      <c r="CB80" s="93"/>
      <c r="CC80" s="93"/>
      <c r="CD80" s="93"/>
      <c r="CE80" s="93"/>
      <c r="CF80" s="93"/>
      <c r="CG80" s="93"/>
      <c r="CH80" s="93"/>
      <c r="CI80" s="93"/>
      <c r="CJ80" s="93"/>
      <c r="CK80" s="93"/>
      <c r="CL80" s="93"/>
      <c r="CM80" s="93"/>
      <c r="CN80" s="93"/>
      <c r="CO80" s="93"/>
      <c r="CP80" s="93"/>
      <c r="CQ80" s="93"/>
      <c r="CR80" s="93"/>
      <c r="CS80" s="93"/>
      <c r="CT80" s="93"/>
      <c r="CU80" s="93"/>
      <c r="CV80" s="93"/>
      <c r="CW80" s="93"/>
      <c r="CX80" s="93"/>
      <c r="CY80" s="93"/>
      <c r="CZ80" s="93"/>
      <c r="DA80" s="93"/>
      <c r="DB80" s="93"/>
      <c r="DC80" s="93"/>
      <c r="DD80" s="93"/>
      <c r="DE80" s="93"/>
      <c r="DF80" s="93"/>
      <c r="DG80" s="93"/>
      <c r="DH80" s="93"/>
      <c r="DI80" s="93"/>
      <c r="DJ80" s="93"/>
      <c r="DK80" s="93"/>
      <c r="DL80" s="93"/>
      <c r="DM80" s="93"/>
      <c r="DN80" s="93"/>
      <c r="DO80" s="93"/>
      <c r="DP80" s="93"/>
      <c r="DQ80" s="93"/>
      <c r="DR80" s="93"/>
      <c r="DS80" s="93"/>
      <c r="DT80" s="93"/>
      <c r="DU80" s="93"/>
      <c r="DV80" s="93"/>
      <c r="DW80" s="93"/>
      <c r="DX80" s="93"/>
      <c r="DY80" s="93"/>
      <c r="DZ80" s="93"/>
      <c r="EA80" s="93"/>
      <c r="EB80" s="93"/>
      <c r="EC80" s="93"/>
      <c r="ED80" s="93"/>
      <c r="EE80" s="93"/>
      <c r="EF80" s="93"/>
      <c r="EG80" s="93"/>
      <c r="EH80" s="93"/>
      <c r="EI80" s="93"/>
      <c r="EJ80" s="93"/>
      <c r="EK80" s="93"/>
      <c r="EL80" s="93"/>
      <c r="EM80" s="93"/>
      <c r="EN80" s="93"/>
      <c r="EO80" s="93"/>
      <c r="EP80" s="93"/>
      <c r="EQ80" s="93"/>
      <c r="ER80" s="93"/>
      <c r="ES80" s="93"/>
      <c r="ET80" s="93"/>
      <c r="EU80" s="93"/>
      <c r="EV80" s="93"/>
      <c r="EW80" s="93"/>
      <c r="EX80" s="93"/>
      <c r="EY80" s="93"/>
      <c r="EZ80" s="93"/>
      <c r="FA80" s="93"/>
      <c r="FB80" s="93"/>
      <c r="FC80" s="93"/>
      <c r="FD80" s="93"/>
      <c r="FE80" s="93"/>
      <c r="FF80" s="93"/>
      <c r="FG80" s="93"/>
      <c r="FH80" s="93"/>
      <c r="FI80" s="93"/>
      <c r="FJ80" s="93"/>
      <c r="FK80" s="93"/>
      <c r="FL80" s="93"/>
      <c r="FM80" s="93"/>
      <c r="FN80" s="93"/>
      <c r="FO80" s="93"/>
      <c r="FP80" s="93"/>
      <c r="FQ80" s="93"/>
      <c r="FR80" s="93"/>
      <c r="FS80" s="93"/>
      <c r="FT80" s="93"/>
      <c r="FU80" s="93"/>
      <c r="FV80" s="93"/>
      <c r="FW80" s="93"/>
      <c r="FX80" s="93"/>
      <c r="FY80" s="93"/>
      <c r="FZ80" s="93"/>
      <c r="GA80" s="93"/>
      <c r="GB80" s="93"/>
      <c r="GC80" s="93"/>
      <c r="GD80" s="93"/>
      <c r="GE80" s="93"/>
      <c r="GF80" s="93"/>
      <c r="GG80" s="93"/>
      <c r="GH80" s="93"/>
      <c r="GI80" s="93"/>
      <c r="GJ80" s="93"/>
      <c r="GK80" s="93"/>
      <c r="GL80" s="93"/>
      <c r="GM80" s="93"/>
      <c r="GN80" s="93"/>
      <c r="GO80" s="93"/>
      <c r="GP80" s="93"/>
      <c r="GQ80" s="93"/>
      <c r="GR80" s="93"/>
      <c r="GS80" s="93"/>
      <c r="GT80" s="93"/>
      <c r="GU80" s="93"/>
      <c r="GV80" s="93"/>
      <c r="GW80" s="93"/>
      <c r="GX80" s="93"/>
      <c r="GY80" s="93"/>
      <c r="GZ80" s="93"/>
      <c r="HA80" s="93"/>
      <c r="HB80" s="93"/>
      <c r="HC80" s="93"/>
      <c r="HD80" s="93"/>
      <c r="HE80" s="93"/>
      <c r="HF80" s="93"/>
      <c r="HG80" s="93"/>
      <c r="HH80" s="93"/>
      <c r="HI80" s="93"/>
      <c r="HJ80" s="93"/>
      <c r="HK80" s="93"/>
      <c r="HL80" s="93"/>
      <c r="HM80" s="93"/>
      <c r="HN80" s="93"/>
      <c r="HO80" s="93"/>
      <c r="HP80" s="93"/>
      <c r="HQ80" s="93"/>
      <c r="HR80" s="93"/>
      <c r="HS80" s="93"/>
      <c r="HT80" s="93"/>
      <c r="HU80" s="93"/>
      <c r="HV80" s="93"/>
      <c r="HW80" s="93"/>
      <c r="HX80" s="93"/>
      <c r="HY80" s="93"/>
      <c r="HZ80" s="93"/>
      <c r="IA80" s="93"/>
      <c r="IB80" s="93"/>
      <c r="IC80" s="93"/>
      <c r="ID80" s="93"/>
      <c r="IE80" s="93"/>
      <c r="IF80" s="93"/>
      <c r="IG80" s="93"/>
      <c r="IH80" s="93"/>
      <c r="II80" s="93"/>
      <c r="IJ80" s="93"/>
      <c r="IK80" s="93"/>
      <c r="IL80" s="93"/>
      <c r="IM80" s="93"/>
      <c r="IN80" s="93"/>
      <c r="IO80" s="93"/>
      <c r="IP80" s="93"/>
      <c r="IQ80" s="93"/>
      <c r="IR80" s="93"/>
      <c r="IS80" s="93"/>
      <c r="IT80" s="93"/>
      <c r="IU80" s="93"/>
      <c r="IV80" s="93"/>
      <c r="IW80" s="93"/>
      <c r="IX80" s="93"/>
      <c r="IY80" s="93"/>
      <c r="IZ80" s="93"/>
      <c r="JA80" s="93"/>
      <c r="JB80" s="93"/>
      <c r="JC80" s="93"/>
      <c r="JD80" s="93"/>
      <c r="JE80" s="93"/>
      <c r="JF80" s="93"/>
      <c r="JG80" s="93"/>
      <c r="JH80" s="93"/>
      <c r="JI80" s="93"/>
      <c r="JJ80" s="93"/>
      <c r="JK80" s="93"/>
      <c r="JL80" s="93"/>
      <c r="JM80" s="93"/>
      <c r="JN80" s="93"/>
      <c r="JO80" s="93"/>
      <c r="JP80" s="93"/>
      <c r="JQ80" s="93"/>
      <c r="JR80" s="93"/>
      <c r="JS80" s="93"/>
      <c r="JT80" s="93"/>
      <c r="JU80" s="93"/>
      <c r="JV80" s="93"/>
      <c r="JW80" s="93"/>
      <c r="JX80" s="93"/>
      <c r="JY80" s="93"/>
      <c r="JZ80" s="93"/>
      <c r="KA80" s="93"/>
      <c r="KB80" s="93"/>
      <c r="KC80" s="93"/>
      <c r="KD80" s="93"/>
      <c r="KE80" s="93"/>
      <c r="KF80" s="93"/>
      <c r="KG80" s="93"/>
      <c r="KH80" s="93"/>
      <c r="KI80" s="93"/>
      <c r="KJ80" s="93"/>
      <c r="KK80" s="93"/>
      <c r="KL80" s="93"/>
      <c r="KM80" s="93"/>
      <c r="KN80" s="93"/>
      <c r="KO80" s="93"/>
      <c r="KP80" s="93"/>
      <c r="KQ80" s="93"/>
      <c r="KR80" s="93"/>
      <c r="KS80" s="93"/>
      <c r="KT80" s="93"/>
      <c r="KU80" s="93"/>
      <c r="KV80" s="93"/>
      <c r="KW80" s="93"/>
      <c r="KX80" s="93"/>
      <c r="KY80" s="93"/>
      <c r="KZ80" s="93"/>
      <c r="LA80" s="93"/>
      <c r="LB80" s="93"/>
      <c r="LC80" s="93"/>
      <c r="LD80" s="93"/>
      <c r="LE80" s="93"/>
      <c r="LF80" s="93"/>
      <c r="LG80" s="93"/>
      <c r="LH80" s="93"/>
      <c r="LI80" s="93"/>
      <c r="LJ80" s="93"/>
      <c r="LK80" s="93"/>
      <c r="LL80" s="93"/>
      <c r="LM80" s="93"/>
      <c r="LN80" s="93"/>
      <c r="LO80" s="93"/>
      <c r="LP80" s="93"/>
      <c r="LQ80" s="93"/>
      <c r="LR80" s="93"/>
      <c r="LS80" s="93"/>
      <c r="LT80" s="93"/>
      <c r="LU80" s="93"/>
      <c r="LV80" s="93"/>
      <c r="LW80" s="93"/>
      <c r="LX80" s="93"/>
      <c r="LY80" s="93"/>
      <c r="LZ80" s="93"/>
      <c r="MA80" s="93"/>
      <c r="MB80" s="93"/>
      <c r="MC80" s="93"/>
      <c r="MD80" s="93"/>
      <c r="ME80" s="93"/>
      <c r="MF80" s="93"/>
      <c r="MG80" s="93"/>
      <c r="MH80" s="93"/>
      <c r="MI80" s="93"/>
      <c r="MJ80" s="93"/>
      <c r="MK80" s="93"/>
      <c r="ML80" s="93"/>
      <c r="MM80" s="93"/>
      <c r="MN80" s="93"/>
      <c r="MO80" s="93"/>
      <c r="MP80" s="93"/>
      <c r="MQ80" s="93"/>
      <c r="MR80" s="93"/>
      <c r="MS80" s="93"/>
      <c r="MT80" s="93"/>
      <c r="MU80" s="93"/>
      <c r="MV80" s="93"/>
      <c r="MW80" s="93"/>
      <c r="MX80" s="93"/>
      <c r="MY80" s="93"/>
      <c r="MZ80" s="93"/>
      <c r="NA80" s="93"/>
      <c r="NB80" s="93"/>
      <c r="NC80" s="93"/>
      <c r="ND80" s="93"/>
      <c r="NE80" s="93"/>
      <c r="NF80" s="93"/>
      <c r="NG80" s="93"/>
      <c r="NH80" s="93"/>
      <c r="NI80" s="93"/>
      <c r="NJ80" s="93"/>
      <c r="NK80" s="93"/>
      <c r="NL80" s="93"/>
      <c r="NM80" s="93"/>
      <c r="NN80" s="93"/>
      <c r="NO80" s="93"/>
      <c r="NP80" s="93"/>
      <c r="NQ80" s="93"/>
      <c r="NR80" s="93"/>
      <c r="NS80" s="93"/>
      <c r="NT80" s="93"/>
      <c r="NU80" s="93"/>
      <c r="NV80" s="93"/>
      <c r="NW80" s="93"/>
      <c r="NX80" s="93"/>
      <c r="NY80" s="93"/>
      <c r="NZ80" s="93"/>
      <c r="OA80" s="93"/>
      <c r="OB80" s="93"/>
      <c r="OC80" s="93"/>
      <c r="OD80" s="93"/>
      <c r="OE80" s="93"/>
      <c r="OF80" s="93"/>
      <c r="OG80" s="93"/>
      <c r="OH80" s="93"/>
      <c r="OI80" s="93"/>
      <c r="OJ80" s="93"/>
      <c r="OK80" s="93"/>
      <c r="OL80" s="93"/>
      <c r="OM80" s="93"/>
      <c r="ON80" s="93"/>
      <c r="OO80" s="93"/>
      <c r="OP80" s="93"/>
      <c r="OQ80" s="93"/>
      <c r="OR80" s="93"/>
      <c r="OS80" s="93"/>
      <c r="OT80" s="93"/>
      <c r="OU80" s="93"/>
      <c r="OV80" s="93"/>
      <c r="OW80" s="93"/>
      <c r="OX80" s="93"/>
      <c r="OY80" s="93"/>
      <c r="OZ80" s="93"/>
      <c r="PA80" s="93"/>
      <c r="PB80" s="93"/>
      <c r="PC80" s="93"/>
      <c r="PD80" s="93"/>
      <c r="PE80" s="93"/>
      <c r="PF80" s="93"/>
      <c r="PG80" s="93"/>
      <c r="PH80" s="93"/>
      <c r="PI80" s="93"/>
      <c r="PJ80" s="93"/>
      <c r="PK80" s="93"/>
      <c r="PL80" s="93"/>
      <c r="PM80" s="93"/>
      <c r="PN80" s="93"/>
      <c r="PO80" s="93"/>
      <c r="PP80" s="93"/>
      <c r="PQ80" s="93"/>
      <c r="PR80" s="93"/>
      <c r="PS80" s="93"/>
      <c r="PT80" s="93"/>
      <c r="PU80" s="93"/>
      <c r="PV80" s="93"/>
      <c r="PW80" s="93"/>
      <c r="PX80" s="93"/>
      <c r="PY80" s="93"/>
      <c r="PZ80" s="93"/>
      <c r="QA80" s="93"/>
      <c r="QB80" s="93"/>
      <c r="QC80" s="93"/>
      <c r="QD80" s="93"/>
      <c r="QE80" s="93"/>
      <c r="QF80" s="93"/>
      <c r="QG80" s="93"/>
      <c r="QH80" s="93"/>
      <c r="QI80" s="93"/>
      <c r="QJ80" s="93"/>
      <c r="QK80" s="93"/>
      <c r="QL80" s="93"/>
      <c r="QM80" s="93"/>
      <c r="QN80" s="93"/>
      <c r="QO80" s="93"/>
      <c r="QP80" s="93"/>
      <c r="QQ80" s="93"/>
      <c r="QR80" s="93"/>
      <c r="QS80" s="93"/>
      <c r="QT80" s="93"/>
      <c r="QU80" s="93"/>
      <c r="QV80" s="93"/>
      <c r="QW80" s="93"/>
      <c r="QX80" s="93"/>
      <c r="QY80" s="93"/>
      <c r="QZ80" s="93"/>
      <c r="RA80" s="93"/>
      <c r="RB80" s="93"/>
      <c r="RC80" s="93"/>
      <c r="RD80" s="93"/>
      <c r="RE80" s="93"/>
      <c r="RF80" s="93"/>
      <c r="RG80" s="93"/>
      <c r="RH80" s="93"/>
      <c r="RI80" s="93"/>
      <c r="RJ80" s="93"/>
      <c r="RK80" s="93"/>
      <c r="RL80" s="93"/>
      <c r="RM80" s="93"/>
      <c r="RN80" s="93"/>
      <c r="RO80" s="93"/>
      <c r="RP80" s="93"/>
      <c r="RQ80" s="93"/>
      <c r="RR80" s="93"/>
      <c r="RS80" s="93"/>
      <c r="RT80" s="93"/>
      <c r="RU80" s="93"/>
      <c r="RV80" s="93"/>
      <c r="RW80" s="93"/>
      <c r="RX80" s="93"/>
      <c r="RY80" s="93"/>
      <c r="RZ80" s="93"/>
      <c r="SA80" s="93"/>
      <c r="SB80" s="93"/>
      <c r="SC80" s="93"/>
      <c r="SD80" s="93"/>
      <c r="SE80" s="93"/>
      <c r="SF80" s="93"/>
      <c r="SG80" s="93"/>
      <c r="SH80" s="93"/>
      <c r="SI80" s="93"/>
      <c r="SJ80" s="93"/>
      <c r="SK80" s="93"/>
      <c r="SL80" s="93"/>
      <c r="SM80" s="93"/>
      <c r="SN80" s="93"/>
      <c r="SO80" s="93"/>
      <c r="SP80" s="93"/>
      <c r="SQ80" s="93"/>
      <c r="SR80" s="93"/>
      <c r="SS80" s="93"/>
      <c r="ST80" s="93"/>
      <c r="SU80" s="93"/>
      <c r="SV80" s="93"/>
      <c r="SW80" s="93"/>
      <c r="SX80" s="93"/>
      <c r="SY80" s="93"/>
      <c r="SZ80" s="93"/>
      <c r="TA80" s="93"/>
      <c r="TB80" s="93"/>
      <c r="TC80" s="93"/>
      <c r="TD80" s="93"/>
      <c r="TE80" s="93"/>
      <c r="TF80" s="93"/>
      <c r="TG80" s="93"/>
      <c r="TH80" s="93"/>
      <c r="TI80" s="93"/>
      <c r="TJ80" s="93"/>
      <c r="TK80" s="93"/>
      <c r="TL80" s="93"/>
      <c r="TM80" s="93"/>
      <c r="TN80" s="93"/>
      <c r="TO80" s="93"/>
      <c r="TP80" s="93"/>
      <c r="TQ80" s="93"/>
      <c r="TR80" s="93"/>
      <c r="TS80" s="93"/>
      <c r="TT80" s="93"/>
      <c r="TU80" s="93"/>
      <c r="TV80" s="93"/>
      <c r="TW80" s="93"/>
      <c r="TX80" s="93"/>
      <c r="TY80" s="93"/>
      <c r="TZ80" s="93"/>
      <c r="UA80" s="93"/>
      <c r="UB80" s="93"/>
      <c r="UC80" s="93"/>
      <c r="UD80" s="93"/>
      <c r="UE80" s="93"/>
      <c r="UF80" s="93"/>
      <c r="UG80" s="93"/>
      <c r="UH80" s="93"/>
      <c r="UI80" s="93"/>
      <c r="UJ80" s="93"/>
      <c r="UK80" s="93"/>
      <c r="UL80" s="93"/>
      <c r="UM80" s="93"/>
      <c r="UN80" s="93"/>
      <c r="UO80" s="93"/>
      <c r="UP80" s="93"/>
      <c r="UQ80" s="93"/>
      <c r="UR80" s="93"/>
      <c r="US80" s="93"/>
      <c r="UT80" s="93"/>
      <c r="UU80" s="93"/>
      <c r="UV80" s="93"/>
      <c r="UW80" s="93"/>
      <c r="UX80" s="93"/>
      <c r="UY80" s="93"/>
      <c r="UZ80" s="93"/>
      <c r="VA80" s="93"/>
      <c r="VB80" s="93"/>
      <c r="VC80" s="93"/>
      <c r="VD80" s="93"/>
      <c r="VE80" s="93"/>
      <c r="VF80" s="93"/>
      <c r="VG80" s="93"/>
      <c r="VH80" s="93"/>
      <c r="VI80" s="93"/>
      <c r="VJ80" s="93"/>
      <c r="VK80" s="93"/>
      <c r="VL80" s="93"/>
      <c r="VM80" s="93"/>
      <c r="VN80" s="93"/>
      <c r="VO80" s="93"/>
      <c r="VP80" s="93"/>
      <c r="VQ80" s="93"/>
      <c r="VR80" s="93"/>
      <c r="VS80" s="93"/>
      <c r="VT80" s="93"/>
      <c r="VU80" s="93"/>
      <c r="VV80" s="93"/>
      <c r="VW80" s="93"/>
      <c r="VX80" s="93"/>
      <c r="VY80" s="93"/>
      <c r="VZ80" s="93"/>
      <c r="WA80" s="93"/>
      <c r="WB80" s="93"/>
      <c r="WC80" s="93"/>
      <c r="WD80" s="93"/>
      <c r="WE80" s="93"/>
      <c r="WF80" s="93"/>
      <c r="WG80" s="93"/>
      <c r="WH80" s="93"/>
      <c r="WI80" s="93"/>
      <c r="WJ80" s="93"/>
      <c r="WK80" s="93"/>
      <c r="WL80" s="93"/>
      <c r="WM80" s="93"/>
      <c r="WN80" s="93"/>
      <c r="WO80" s="93"/>
      <c r="WP80" s="93"/>
      <c r="WQ80" s="93"/>
      <c r="WR80" s="93"/>
      <c r="WS80" s="93"/>
      <c r="WT80" s="93"/>
      <c r="WU80" s="93"/>
      <c r="WV80" s="93"/>
      <c r="WW80" s="93"/>
      <c r="WX80" s="93"/>
      <c r="WY80" s="93"/>
      <c r="WZ80" s="93"/>
      <c r="XA80" s="93"/>
      <c r="XB80" s="93"/>
      <c r="XC80" s="93"/>
      <c r="XD80" s="93"/>
      <c r="XE80" s="93"/>
      <c r="XF80" s="93"/>
      <c r="XG80" s="93"/>
      <c r="XH80" s="93"/>
      <c r="XI80" s="93"/>
      <c r="XJ80" s="93"/>
      <c r="XK80" s="93"/>
      <c r="XL80" s="93"/>
      <c r="XM80" s="93"/>
      <c r="XN80" s="93"/>
      <c r="XO80" s="93"/>
      <c r="XP80" s="93"/>
      <c r="XQ80" s="93"/>
      <c r="XR80" s="93"/>
      <c r="XS80" s="93"/>
      <c r="XT80" s="93"/>
      <c r="XU80" s="93"/>
      <c r="XV80" s="93"/>
      <c r="XW80" s="93"/>
      <c r="XX80" s="93"/>
      <c r="XY80" s="93"/>
      <c r="XZ80" s="93"/>
      <c r="YA80" s="93"/>
      <c r="YB80" s="93"/>
      <c r="YC80" s="93"/>
      <c r="YD80" s="93"/>
      <c r="YE80" s="93"/>
      <c r="YF80" s="93"/>
      <c r="YG80" s="93"/>
      <c r="YH80" s="93"/>
      <c r="YI80" s="93"/>
      <c r="YJ80" s="93"/>
      <c r="YK80" s="93"/>
      <c r="YL80" s="93"/>
      <c r="YM80" s="93"/>
      <c r="YN80" s="93"/>
      <c r="YO80" s="93"/>
      <c r="YP80" s="93"/>
      <c r="YQ80" s="93"/>
      <c r="YR80" s="93"/>
      <c r="YS80" s="93"/>
      <c r="YT80" s="93"/>
      <c r="YU80" s="93"/>
      <c r="YV80" s="93"/>
      <c r="YW80" s="93"/>
      <c r="YX80" s="93"/>
      <c r="YY80" s="93"/>
      <c r="YZ80" s="93"/>
      <c r="ZA80" s="93"/>
      <c r="ZB80" s="93"/>
      <c r="ZC80" s="93"/>
      <c r="ZD80" s="93"/>
      <c r="ZE80" s="93"/>
      <c r="ZF80" s="93"/>
      <c r="ZG80" s="93"/>
      <c r="ZH80" s="93"/>
      <c r="ZI80" s="93"/>
      <c r="ZJ80" s="93"/>
      <c r="ZK80" s="93"/>
      <c r="ZL80" s="93"/>
      <c r="ZM80" s="93"/>
      <c r="ZN80" s="93"/>
      <c r="ZO80" s="93"/>
      <c r="ZP80" s="93"/>
      <c r="ZQ80" s="93"/>
      <c r="ZR80" s="93"/>
      <c r="ZS80" s="93"/>
      <c r="ZT80" s="93"/>
      <c r="ZU80" s="93"/>
      <c r="ZV80" s="93"/>
      <c r="ZW80" s="93"/>
      <c r="ZX80" s="93"/>
      <c r="ZY80" s="93"/>
      <c r="ZZ80" s="93"/>
      <c r="AAA80" s="93"/>
      <c r="AAB80" s="93"/>
      <c r="AAC80" s="93"/>
      <c r="AAD80" s="93"/>
      <c r="AAE80" s="93"/>
      <c r="AAF80" s="93"/>
      <c r="AAG80" s="93"/>
      <c r="AAH80" s="93"/>
      <c r="AAI80" s="93"/>
      <c r="AAJ80" s="93"/>
      <c r="AAK80" s="93"/>
      <c r="AAL80" s="93"/>
      <c r="AAM80" s="93"/>
      <c r="AAN80" s="93"/>
      <c r="AAO80" s="93"/>
      <c r="AAP80" s="93"/>
      <c r="AAQ80" s="93"/>
      <c r="AAR80" s="93"/>
      <c r="AAS80" s="93"/>
      <c r="AAT80" s="93"/>
      <c r="AAU80" s="93"/>
      <c r="AAV80" s="93"/>
      <c r="AAW80" s="93"/>
      <c r="AAX80" s="93"/>
      <c r="AAY80" s="93"/>
      <c r="AAZ80" s="93"/>
      <c r="ABA80" s="93"/>
      <c r="ABB80" s="93"/>
      <c r="ABC80" s="93"/>
      <c r="ABD80" s="93"/>
      <c r="ABE80" s="93"/>
      <c r="ABF80" s="93"/>
      <c r="ABG80" s="93"/>
      <c r="ABH80" s="93"/>
      <c r="ABI80" s="93"/>
      <c r="ABJ80" s="93"/>
      <c r="ABK80" s="93"/>
      <c r="ABL80" s="93"/>
      <c r="ABM80" s="93"/>
      <c r="ABN80" s="93"/>
      <c r="ABO80" s="93"/>
      <c r="ABP80" s="93"/>
      <c r="ABQ80" s="93"/>
      <c r="ABR80" s="93"/>
      <c r="ABS80" s="93"/>
      <c r="ABT80" s="93"/>
      <c r="ABU80" s="93"/>
      <c r="ABV80" s="93"/>
      <c r="ABW80" s="93"/>
      <c r="ABX80" s="93"/>
      <c r="ABY80" s="93"/>
      <c r="ABZ80" s="93"/>
      <c r="ACA80" s="93"/>
      <c r="ACB80" s="93"/>
      <c r="ACC80" s="93"/>
      <c r="ACD80" s="93"/>
      <c r="ACE80" s="93"/>
      <c r="ACF80" s="93"/>
      <c r="ACG80" s="93"/>
      <c r="ACH80" s="93"/>
      <c r="ACI80" s="93"/>
      <c r="ACJ80" s="93"/>
      <c r="ACK80" s="93"/>
      <c r="ACL80" s="93"/>
      <c r="ACM80" s="93"/>
      <c r="ACN80" s="93"/>
      <c r="ACO80" s="93"/>
      <c r="ACP80" s="93"/>
      <c r="ACQ80" s="93"/>
      <c r="ACR80" s="93"/>
      <c r="ACS80" s="93"/>
      <c r="ACT80" s="93"/>
      <c r="ACU80" s="93"/>
      <c r="ACV80" s="93"/>
      <c r="ACW80" s="93"/>
      <c r="ACX80" s="93"/>
      <c r="ACY80" s="93"/>
      <c r="ACZ80" s="93"/>
      <c r="ADA80" s="93"/>
      <c r="ADB80" s="93"/>
      <c r="ADC80" s="93"/>
      <c r="ADD80" s="93"/>
      <c r="ADE80" s="93"/>
      <c r="ADF80" s="93"/>
      <c r="ADG80" s="93"/>
      <c r="ADH80" s="93"/>
      <c r="ADI80" s="93"/>
      <c r="ADJ80" s="93"/>
      <c r="ADK80" s="93"/>
      <c r="ADL80" s="93"/>
      <c r="ADM80" s="93"/>
      <c r="ADN80" s="93"/>
      <c r="ADO80" s="93"/>
      <c r="ADP80" s="93"/>
      <c r="ADQ80" s="93"/>
      <c r="ADR80" s="93"/>
      <c r="ADS80" s="93"/>
      <c r="ADT80" s="93"/>
      <c r="ADU80" s="93"/>
      <c r="ADV80" s="93"/>
      <c r="ADW80" s="93"/>
      <c r="ADX80" s="93"/>
      <c r="ADY80" s="93"/>
      <c r="ADZ80" s="93"/>
      <c r="AEA80" s="93"/>
      <c r="AEB80" s="93"/>
      <c r="AEC80" s="93"/>
      <c r="AED80" s="93"/>
      <c r="AEE80" s="93"/>
      <c r="AEF80" s="93"/>
      <c r="AEG80" s="93"/>
      <c r="AEH80" s="93"/>
      <c r="AEI80" s="93"/>
      <c r="AEJ80" s="93"/>
      <c r="AEK80" s="93"/>
      <c r="AEL80" s="93"/>
      <c r="AEM80" s="93"/>
      <c r="AEN80" s="93"/>
      <c r="AEO80" s="93"/>
      <c r="AEP80" s="93"/>
      <c r="AEQ80" s="93"/>
      <c r="AER80" s="93"/>
      <c r="AES80" s="93"/>
      <c r="AET80" s="93"/>
      <c r="AEU80" s="93"/>
      <c r="AEV80" s="93"/>
      <c r="AEW80" s="93"/>
      <c r="AEX80" s="93"/>
      <c r="AEY80" s="93"/>
      <c r="AEZ80" s="93"/>
      <c r="AFA80" s="93"/>
      <c r="AFB80" s="93"/>
      <c r="AFC80" s="93"/>
      <c r="AFD80" s="93"/>
      <c r="AFE80" s="93"/>
      <c r="AFF80" s="93"/>
      <c r="AFG80" s="93"/>
      <c r="AFH80" s="93"/>
      <c r="AFI80" s="93"/>
      <c r="AFJ80" s="93"/>
      <c r="AFK80" s="93"/>
      <c r="AFL80" s="93"/>
      <c r="AFM80" s="93"/>
      <c r="AFN80" s="93"/>
      <c r="AFO80" s="93"/>
      <c r="AFP80" s="93"/>
      <c r="AFQ80" s="93"/>
      <c r="AFR80" s="93"/>
      <c r="AFS80" s="93"/>
      <c r="AFT80" s="93"/>
      <c r="AFU80" s="93"/>
      <c r="AFV80" s="93"/>
      <c r="AFW80" s="93"/>
      <c r="AFX80" s="93"/>
      <c r="AFY80" s="93"/>
      <c r="AFZ80" s="93"/>
      <c r="AGA80" s="93"/>
      <c r="AGB80" s="93"/>
      <c r="AGC80" s="93"/>
      <c r="AGD80" s="93"/>
      <c r="AGE80" s="93"/>
      <c r="AGF80" s="93"/>
      <c r="AGG80" s="93"/>
      <c r="AGH80" s="93"/>
      <c r="AGI80" s="93"/>
      <c r="AGJ80" s="93"/>
      <c r="AGK80" s="93"/>
      <c r="AGL80" s="93"/>
      <c r="AGM80" s="93"/>
      <c r="AGN80" s="93"/>
      <c r="AGO80" s="93"/>
      <c r="AGP80" s="93"/>
      <c r="AGQ80" s="93"/>
      <c r="AGR80" s="93"/>
      <c r="AGS80" s="93"/>
      <c r="AGT80" s="93"/>
      <c r="AGU80" s="93"/>
      <c r="AGV80" s="93"/>
      <c r="AGW80" s="93"/>
      <c r="AGX80" s="93"/>
      <c r="AGY80" s="93"/>
      <c r="AGZ80" s="93"/>
      <c r="AHA80" s="93"/>
      <c r="AHB80" s="93"/>
      <c r="AHC80" s="93"/>
      <c r="AHD80" s="93"/>
      <c r="AHE80" s="93"/>
      <c r="AHF80" s="93"/>
      <c r="AHG80" s="93"/>
      <c r="AHH80" s="93"/>
      <c r="AHI80" s="93"/>
      <c r="AHJ80" s="93"/>
      <c r="AHK80" s="93"/>
      <c r="AHL80" s="93"/>
      <c r="AHM80" s="93"/>
      <c r="AHN80" s="93"/>
      <c r="AHO80" s="93"/>
      <c r="AHP80" s="93"/>
      <c r="AHQ80" s="93"/>
      <c r="AHR80" s="93"/>
      <c r="AHS80" s="93"/>
      <c r="AHT80" s="93"/>
      <c r="AHU80" s="93"/>
      <c r="AHV80" s="93"/>
      <c r="AHW80" s="93"/>
      <c r="AHX80" s="93"/>
      <c r="AHY80" s="93"/>
      <c r="AHZ80" s="93"/>
      <c r="AIA80" s="93"/>
      <c r="AIB80" s="93"/>
      <c r="AIC80" s="93"/>
      <c r="AID80" s="93"/>
      <c r="AIE80" s="93"/>
      <c r="AIF80" s="93"/>
      <c r="AIG80" s="93"/>
      <c r="AIH80" s="93"/>
      <c r="AII80" s="93"/>
      <c r="AIJ80" s="93"/>
      <c r="AIK80" s="93"/>
      <c r="AIL80" s="93"/>
      <c r="AIM80" s="93"/>
      <c r="AIN80" s="93"/>
      <c r="AIO80" s="93"/>
      <c r="AIP80" s="93"/>
      <c r="AIQ80" s="93"/>
      <c r="AIR80" s="93"/>
      <c r="AIS80" s="93"/>
      <c r="AIT80" s="93"/>
      <c r="AIU80" s="93"/>
      <c r="AIV80" s="93"/>
      <c r="AIW80" s="93"/>
      <c r="AIX80" s="93"/>
      <c r="AIY80" s="93"/>
      <c r="AIZ80" s="93"/>
      <c r="AJA80" s="93"/>
      <c r="AJB80" s="93"/>
      <c r="AJC80" s="93"/>
      <c r="AJD80" s="93"/>
      <c r="AJE80" s="93"/>
      <c r="AJF80" s="93"/>
      <c r="AJG80" s="93"/>
      <c r="AJH80" s="93"/>
      <c r="AJI80" s="93"/>
      <c r="AJJ80" s="93"/>
    </row>
    <row r="81" spans="1:946" s="360" customFormat="1">
      <c r="A81" s="141">
        <f>+A71+1</f>
        <v>38</v>
      </c>
      <c r="B81" s="136"/>
      <c r="C81" s="140" t="s">
        <v>176</v>
      </c>
      <c r="D81" s="157"/>
      <c r="E81" s="157"/>
      <c r="F81" s="140" t="s">
        <v>206</v>
      </c>
      <c r="G81" s="364"/>
      <c r="H81" s="673">
        <v>0</v>
      </c>
      <c r="I81" s="142">
        <f>+G81-H81</f>
        <v>0</v>
      </c>
      <c r="J81" s="93"/>
      <c r="K81" s="93"/>
      <c r="L81" s="93"/>
      <c r="M81" s="132"/>
      <c r="N81" s="93"/>
      <c r="O81" s="93"/>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c r="AX81" s="93"/>
      <c r="AY81" s="93"/>
      <c r="AZ81" s="93"/>
      <c r="BA81" s="93"/>
      <c r="BB81" s="93"/>
      <c r="BC81" s="93"/>
      <c r="BD81" s="93"/>
      <c r="BE81" s="93"/>
      <c r="BF81" s="93"/>
      <c r="BG81" s="93"/>
      <c r="BH81" s="93"/>
      <c r="BI81" s="93"/>
      <c r="BJ81" s="93"/>
      <c r="BK81" s="93"/>
      <c r="BL81" s="93"/>
      <c r="BM81" s="93"/>
      <c r="BN81" s="93"/>
      <c r="BO81" s="93"/>
      <c r="BP81" s="93"/>
      <c r="BQ81" s="93"/>
      <c r="BR81" s="93"/>
      <c r="BS81" s="93"/>
      <c r="BT81" s="93"/>
      <c r="BU81" s="93"/>
      <c r="BV81" s="93"/>
      <c r="BW81" s="93"/>
      <c r="BX81" s="93"/>
      <c r="BY81" s="93"/>
      <c r="BZ81" s="93"/>
      <c r="CA81" s="93"/>
      <c r="CB81" s="93"/>
      <c r="CC81" s="93"/>
      <c r="CD81" s="93"/>
      <c r="CE81" s="93"/>
      <c r="CF81" s="93"/>
      <c r="CG81" s="93"/>
      <c r="CH81" s="93"/>
      <c r="CI81" s="93"/>
      <c r="CJ81" s="93"/>
      <c r="CK81" s="93"/>
      <c r="CL81" s="93"/>
      <c r="CM81" s="93"/>
      <c r="CN81" s="93"/>
      <c r="CO81" s="93"/>
      <c r="CP81" s="93"/>
      <c r="CQ81" s="93"/>
      <c r="CR81" s="93"/>
      <c r="CS81" s="93"/>
      <c r="CT81" s="93"/>
      <c r="CU81" s="93"/>
      <c r="CV81" s="93"/>
      <c r="CW81" s="93"/>
      <c r="CX81" s="93"/>
      <c r="CY81" s="93"/>
      <c r="CZ81" s="93"/>
      <c r="DA81" s="93"/>
      <c r="DB81" s="93"/>
      <c r="DC81" s="93"/>
      <c r="DD81" s="93"/>
      <c r="DE81" s="93"/>
      <c r="DF81" s="93"/>
      <c r="DG81" s="93"/>
      <c r="DH81" s="93"/>
      <c r="DI81" s="93"/>
      <c r="DJ81" s="93"/>
      <c r="DK81" s="93"/>
      <c r="DL81" s="93"/>
      <c r="DM81" s="93"/>
      <c r="DN81" s="93"/>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93"/>
      <c r="EW81" s="93"/>
      <c r="EX81" s="93"/>
      <c r="EY81" s="93"/>
      <c r="EZ81" s="93"/>
      <c r="FA81" s="93"/>
      <c r="FB81" s="93"/>
      <c r="FC81" s="93"/>
      <c r="FD81" s="93"/>
      <c r="FE81" s="93"/>
      <c r="FF81" s="93"/>
      <c r="FG81" s="93"/>
      <c r="FH81" s="93"/>
      <c r="FI81" s="93"/>
      <c r="FJ81" s="93"/>
      <c r="FK81" s="93"/>
      <c r="FL81" s="93"/>
      <c r="FM81" s="93"/>
      <c r="FN81" s="93"/>
      <c r="FO81" s="93"/>
      <c r="FP81" s="93"/>
      <c r="FQ81" s="93"/>
      <c r="FR81" s="93"/>
      <c r="FS81" s="93"/>
      <c r="FT81" s="93"/>
      <c r="FU81" s="93"/>
      <c r="FV81" s="93"/>
      <c r="FW81" s="93"/>
      <c r="FX81" s="93"/>
      <c r="FY81" s="93"/>
      <c r="FZ81" s="93"/>
      <c r="GA81" s="93"/>
      <c r="GB81" s="93"/>
      <c r="GC81" s="93"/>
      <c r="GD81" s="93"/>
      <c r="GE81" s="93"/>
      <c r="GF81" s="93"/>
      <c r="GG81" s="93"/>
      <c r="GH81" s="93"/>
      <c r="GI81" s="93"/>
      <c r="GJ81" s="93"/>
      <c r="GK81" s="93"/>
      <c r="GL81" s="93"/>
      <c r="GM81" s="93"/>
      <c r="GN81" s="93"/>
      <c r="GO81" s="93"/>
      <c r="GP81" s="93"/>
      <c r="GQ81" s="93"/>
      <c r="GR81" s="93"/>
      <c r="GS81" s="93"/>
      <c r="GT81" s="93"/>
      <c r="GU81" s="93"/>
      <c r="GV81" s="93"/>
      <c r="GW81" s="93"/>
      <c r="GX81" s="93"/>
      <c r="GY81" s="93"/>
      <c r="GZ81" s="93"/>
      <c r="HA81" s="93"/>
      <c r="HB81" s="93"/>
      <c r="HC81" s="93"/>
      <c r="HD81" s="93"/>
      <c r="HE81" s="93"/>
      <c r="HF81" s="93"/>
      <c r="HG81" s="93"/>
      <c r="HH81" s="93"/>
      <c r="HI81" s="93"/>
      <c r="HJ81" s="93"/>
      <c r="HK81" s="93"/>
      <c r="HL81" s="93"/>
      <c r="HM81" s="93"/>
      <c r="HN81" s="93"/>
      <c r="HO81" s="93"/>
      <c r="HP81" s="93"/>
      <c r="HQ81" s="93"/>
      <c r="HR81" s="93"/>
      <c r="HS81" s="93"/>
      <c r="HT81" s="93"/>
      <c r="HU81" s="93"/>
      <c r="HV81" s="93"/>
      <c r="HW81" s="93"/>
      <c r="HX81" s="93"/>
      <c r="HY81" s="93"/>
      <c r="HZ81" s="93"/>
      <c r="IA81" s="93"/>
      <c r="IB81" s="93"/>
      <c r="IC81" s="93"/>
      <c r="ID81" s="93"/>
      <c r="IE81" s="93"/>
      <c r="IF81" s="93"/>
      <c r="IG81" s="93"/>
      <c r="IH81" s="93"/>
      <c r="II81" s="93"/>
      <c r="IJ81" s="93"/>
      <c r="IK81" s="93"/>
      <c r="IL81" s="93"/>
      <c r="IM81" s="93"/>
      <c r="IN81" s="93"/>
      <c r="IO81" s="93"/>
      <c r="IP81" s="93"/>
      <c r="IQ81" s="93"/>
      <c r="IR81" s="93"/>
      <c r="IS81" s="93"/>
      <c r="IT81" s="93"/>
      <c r="IU81" s="93"/>
      <c r="IV81" s="93"/>
      <c r="IW81" s="93"/>
      <c r="IX81" s="93"/>
      <c r="IY81" s="93"/>
      <c r="IZ81" s="93"/>
      <c r="JA81" s="93"/>
      <c r="JB81" s="93"/>
      <c r="JC81" s="93"/>
      <c r="JD81" s="93"/>
      <c r="JE81" s="93"/>
      <c r="JF81" s="93"/>
      <c r="JG81" s="93"/>
      <c r="JH81" s="93"/>
      <c r="JI81" s="93"/>
      <c r="JJ81" s="93"/>
      <c r="JK81" s="93"/>
      <c r="JL81" s="93"/>
      <c r="JM81" s="93"/>
      <c r="JN81" s="93"/>
      <c r="JO81" s="93"/>
      <c r="JP81" s="93"/>
      <c r="JQ81" s="93"/>
      <c r="JR81" s="93"/>
      <c r="JS81" s="93"/>
      <c r="JT81" s="93"/>
      <c r="JU81" s="93"/>
      <c r="JV81" s="93"/>
      <c r="JW81" s="93"/>
      <c r="JX81" s="93"/>
      <c r="JY81" s="93"/>
      <c r="JZ81" s="93"/>
      <c r="KA81" s="93"/>
      <c r="KB81" s="93"/>
      <c r="KC81" s="93"/>
      <c r="KD81" s="93"/>
      <c r="KE81" s="93"/>
      <c r="KF81" s="93"/>
      <c r="KG81" s="93"/>
      <c r="KH81" s="93"/>
      <c r="KI81" s="93"/>
      <c r="KJ81" s="93"/>
      <c r="KK81" s="93"/>
      <c r="KL81" s="93"/>
      <c r="KM81" s="93"/>
      <c r="KN81" s="93"/>
      <c r="KO81" s="93"/>
      <c r="KP81" s="93"/>
      <c r="KQ81" s="93"/>
      <c r="KR81" s="93"/>
      <c r="KS81" s="93"/>
      <c r="KT81" s="93"/>
      <c r="KU81" s="93"/>
      <c r="KV81" s="93"/>
      <c r="KW81" s="93"/>
      <c r="KX81" s="93"/>
      <c r="KY81" s="93"/>
      <c r="KZ81" s="93"/>
      <c r="LA81" s="93"/>
      <c r="LB81" s="93"/>
      <c r="LC81" s="93"/>
      <c r="LD81" s="93"/>
      <c r="LE81" s="93"/>
      <c r="LF81" s="93"/>
      <c r="LG81" s="93"/>
      <c r="LH81" s="93"/>
      <c r="LI81" s="93"/>
      <c r="LJ81" s="93"/>
      <c r="LK81" s="93"/>
      <c r="LL81" s="93"/>
      <c r="LM81" s="93"/>
      <c r="LN81" s="93"/>
      <c r="LO81" s="93"/>
      <c r="LP81" s="93"/>
      <c r="LQ81" s="93"/>
      <c r="LR81" s="93"/>
      <c r="LS81" s="93"/>
      <c r="LT81" s="93"/>
      <c r="LU81" s="93"/>
      <c r="LV81" s="93"/>
      <c r="LW81" s="93"/>
      <c r="LX81" s="93"/>
      <c r="LY81" s="93"/>
      <c r="LZ81" s="93"/>
      <c r="MA81" s="93"/>
      <c r="MB81" s="93"/>
      <c r="MC81" s="93"/>
      <c r="MD81" s="93"/>
      <c r="ME81" s="93"/>
      <c r="MF81" s="93"/>
      <c r="MG81" s="93"/>
      <c r="MH81" s="93"/>
      <c r="MI81" s="93"/>
      <c r="MJ81" s="93"/>
      <c r="MK81" s="93"/>
      <c r="ML81" s="93"/>
      <c r="MM81" s="93"/>
      <c r="MN81" s="93"/>
      <c r="MO81" s="93"/>
      <c r="MP81" s="93"/>
      <c r="MQ81" s="93"/>
      <c r="MR81" s="93"/>
      <c r="MS81" s="93"/>
      <c r="MT81" s="93"/>
      <c r="MU81" s="93"/>
      <c r="MV81" s="93"/>
      <c r="MW81" s="93"/>
      <c r="MX81" s="93"/>
      <c r="MY81" s="93"/>
      <c r="MZ81" s="93"/>
      <c r="NA81" s="93"/>
      <c r="NB81" s="93"/>
      <c r="NC81" s="93"/>
      <c r="ND81" s="93"/>
      <c r="NE81" s="93"/>
      <c r="NF81" s="93"/>
      <c r="NG81" s="93"/>
      <c r="NH81" s="93"/>
      <c r="NI81" s="93"/>
      <c r="NJ81" s="93"/>
      <c r="NK81" s="93"/>
      <c r="NL81" s="93"/>
      <c r="NM81" s="93"/>
      <c r="NN81" s="93"/>
      <c r="NO81" s="93"/>
      <c r="NP81" s="93"/>
      <c r="NQ81" s="93"/>
      <c r="NR81" s="93"/>
      <c r="NS81" s="93"/>
      <c r="NT81" s="93"/>
      <c r="NU81" s="93"/>
      <c r="NV81" s="93"/>
      <c r="NW81" s="93"/>
      <c r="NX81" s="93"/>
      <c r="NY81" s="93"/>
      <c r="NZ81" s="93"/>
      <c r="OA81" s="93"/>
      <c r="OB81" s="93"/>
      <c r="OC81" s="93"/>
      <c r="OD81" s="93"/>
      <c r="OE81" s="93"/>
      <c r="OF81" s="93"/>
      <c r="OG81" s="93"/>
      <c r="OH81" s="93"/>
      <c r="OI81" s="93"/>
      <c r="OJ81" s="93"/>
      <c r="OK81" s="93"/>
      <c r="OL81" s="93"/>
      <c r="OM81" s="93"/>
      <c r="ON81" s="93"/>
      <c r="OO81" s="93"/>
      <c r="OP81" s="93"/>
      <c r="OQ81" s="93"/>
      <c r="OR81" s="93"/>
      <c r="OS81" s="93"/>
      <c r="OT81" s="93"/>
      <c r="OU81" s="93"/>
      <c r="OV81" s="93"/>
      <c r="OW81" s="93"/>
      <c r="OX81" s="93"/>
      <c r="OY81" s="93"/>
      <c r="OZ81" s="93"/>
      <c r="PA81" s="93"/>
      <c r="PB81" s="93"/>
      <c r="PC81" s="93"/>
      <c r="PD81" s="93"/>
      <c r="PE81" s="93"/>
      <c r="PF81" s="93"/>
      <c r="PG81" s="93"/>
      <c r="PH81" s="93"/>
      <c r="PI81" s="93"/>
      <c r="PJ81" s="93"/>
      <c r="PK81" s="93"/>
      <c r="PL81" s="93"/>
      <c r="PM81" s="93"/>
      <c r="PN81" s="93"/>
      <c r="PO81" s="93"/>
      <c r="PP81" s="93"/>
      <c r="PQ81" s="93"/>
      <c r="PR81" s="93"/>
      <c r="PS81" s="93"/>
      <c r="PT81" s="93"/>
      <c r="PU81" s="93"/>
      <c r="PV81" s="93"/>
      <c r="PW81" s="93"/>
      <c r="PX81" s="93"/>
      <c r="PY81" s="93"/>
      <c r="PZ81" s="93"/>
      <c r="QA81" s="93"/>
      <c r="QB81" s="93"/>
      <c r="QC81" s="93"/>
      <c r="QD81" s="93"/>
      <c r="QE81" s="93"/>
      <c r="QF81" s="93"/>
      <c r="QG81" s="93"/>
      <c r="QH81" s="93"/>
      <c r="QI81" s="93"/>
      <c r="QJ81" s="93"/>
      <c r="QK81" s="93"/>
      <c r="QL81" s="93"/>
      <c r="QM81" s="93"/>
      <c r="QN81" s="93"/>
      <c r="QO81" s="93"/>
      <c r="QP81" s="93"/>
      <c r="QQ81" s="93"/>
      <c r="QR81" s="93"/>
      <c r="QS81" s="93"/>
      <c r="QT81" s="93"/>
      <c r="QU81" s="93"/>
      <c r="QV81" s="93"/>
      <c r="QW81" s="93"/>
      <c r="QX81" s="93"/>
      <c r="QY81" s="93"/>
      <c r="QZ81" s="93"/>
      <c r="RA81" s="93"/>
      <c r="RB81" s="93"/>
      <c r="RC81" s="93"/>
      <c r="RD81" s="93"/>
      <c r="RE81" s="93"/>
      <c r="RF81" s="93"/>
      <c r="RG81" s="93"/>
      <c r="RH81" s="93"/>
      <c r="RI81" s="93"/>
      <c r="RJ81" s="93"/>
      <c r="RK81" s="93"/>
      <c r="RL81" s="93"/>
      <c r="RM81" s="93"/>
      <c r="RN81" s="93"/>
      <c r="RO81" s="93"/>
      <c r="RP81" s="93"/>
      <c r="RQ81" s="93"/>
      <c r="RR81" s="93"/>
      <c r="RS81" s="93"/>
      <c r="RT81" s="93"/>
      <c r="RU81" s="93"/>
      <c r="RV81" s="93"/>
      <c r="RW81" s="93"/>
      <c r="RX81" s="93"/>
      <c r="RY81" s="93"/>
      <c r="RZ81" s="93"/>
      <c r="SA81" s="93"/>
      <c r="SB81" s="93"/>
      <c r="SC81" s="93"/>
      <c r="SD81" s="93"/>
      <c r="SE81" s="93"/>
      <c r="SF81" s="93"/>
      <c r="SG81" s="93"/>
      <c r="SH81" s="93"/>
      <c r="SI81" s="93"/>
      <c r="SJ81" s="93"/>
      <c r="SK81" s="93"/>
      <c r="SL81" s="93"/>
      <c r="SM81" s="93"/>
      <c r="SN81" s="93"/>
      <c r="SO81" s="93"/>
      <c r="SP81" s="93"/>
      <c r="SQ81" s="93"/>
      <c r="SR81" s="93"/>
      <c r="SS81" s="93"/>
      <c r="ST81" s="93"/>
      <c r="SU81" s="93"/>
      <c r="SV81" s="93"/>
      <c r="SW81" s="93"/>
      <c r="SX81" s="93"/>
      <c r="SY81" s="93"/>
      <c r="SZ81" s="93"/>
      <c r="TA81" s="93"/>
      <c r="TB81" s="93"/>
      <c r="TC81" s="93"/>
      <c r="TD81" s="93"/>
      <c r="TE81" s="93"/>
      <c r="TF81" s="93"/>
      <c r="TG81" s="93"/>
      <c r="TH81" s="93"/>
      <c r="TI81" s="93"/>
      <c r="TJ81" s="93"/>
      <c r="TK81" s="93"/>
      <c r="TL81" s="93"/>
      <c r="TM81" s="93"/>
      <c r="TN81" s="93"/>
      <c r="TO81" s="93"/>
      <c r="TP81" s="93"/>
      <c r="TQ81" s="93"/>
      <c r="TR81" s="93"/>
      <c r="TS81" s="93"/>
      <c r="TT81" s="93"/>
      <c r="TU81" s="93"/>
      <c r="TV81" s="93"/>
      <c r="TW81" s="93"/>
      <c r="TX81" s="93"/>
      <c r="TY81" s="93"/>
      <c r="TZ81" s="93"/>
      <c r="UA81" s="93"/>
      <c r="UB81" s="93"/>
      <c r="UC81" s="93"/>
      <c r="UD81" s="93"/>
      <c r="UE81" s="93"/>
      <c r="UF81" s="93"/>
      <c r="UG81" s="93"/>
      <c r="UH81" s="93"/>
      <c r="UI81" s="93"/>
      <c r="UJ81" s="93"/>
      <c r="UK81" s="93"/>
      <c r="UL81" s="93"/>
      <c r="UM81" s="93"/>
      <c r="UN81" s="93"/>
      <c r="UO81" s="93"/>
      <c r="UP81" s="93"/>
      <c r="UQ81" s="93"/>
      <c r="UR81" s="93"/>
      <c r="US81" s="93"/>
      <c r="UT81" s="93"/>
      <c r="UU81" s="93"/>
      <c r="UV81" s="93"/>
      <c r="UW81" s="93"/>
      <c r="UX81" s="93"/>
      <c r="UY81" s="93"/>
      <c r="UZ81" s="93"/>
      <c r="VA81" s="93"/>
      <c r="VB81" s="93"/>
      <c r="VC81" s="93"/>
      <c r="VD81" s="93"/>
      <c r="VE81" s="93"/>
      <c r="VF81" s="93"/>
      <c r="VG81" s="93"/>
      <c r="VH81" s="93"/>
      <c r="VI81" s="93"/>
      <c r="VJ81" s="93"/>
      <c r="VK81" s="93"/>
      <c r="VL81" s="93"/>
      <c r="VM81" s="93"/>
      <c r="VN81" s="93"/>
      <c r="VO81" s="93"/>
      <c r="VP81" s="93"/>
      <c r="VQ81" s="93"/>
      <c r="VR81" s="93"/>
      <c r="VS81" s="93"/>
      <c r="VT81" s="93"/>
      <c r="VU81" s="93"/>
      <c r="VV81" s="93"/>
      <c r="VW81" s="93"/>
      <c r="VX81" s="93"/>
      <c r="VY81" s="93"/>
      <c r="VZ81" s="93"/>
      <c r="WA81" s="93"/>
      <c r="WB81" s="93"/>
      <c r="WC81" s="93"/>
      <c r="WD81" s="93"/>
      <c r="WE81" s="93"/>
      <c r="WF81" s="93"/>
      <c r="WG81" s="93"/>
      <c r="WH81" s="93"/>
      <c r="WI81" s="93"/>
      <c r="WJ81" s="93"/>
      <c r="WK81" s="93"/>
      <c r="WL81" s="93"/>
      <c r="WM81" s="93"/>
      <c r="WN81" s="93"/>
      <c r="WO81" s="93"/>
      <c r="WP81" s="93"/>
      <c r="WQ81" s="93"/>
      <c r="WR81" s="93"/>
      <c r="WS81" s="93"/>
      <c r="WT81" s="93"/>
      <c r="WU81" s="93"/>
      <c r="WV81" s="93"/>
      <c r="WW81" s="93"/>
      <c r="WX81" s="93"/>
      <c r="WY81" s="93"/>
      <c r="WZ81" s="93"/>
      <c r="XA81" s="93"/>
      <c r="XB81" s="93"/>
      <c r="XC81" s="93"/>
      <c r="XD81" s="93"/>
      <c r="XE81" s="93"/>
      <c r="XF81" s="93"/>
      <c r="XG81" s="93"/>
      <c r="XH81" s="93"/>
      <c r="XI81" s="93"/>
      <c r="XJ81" s="93"/>
      <c r="XK81" s="93"/>
      <c r="XL81" s="93"/>
      <c r="XM81" s="93"/>
      <c r="XN81" s="93"/>
      <c r="XO81" s="93"/>
      <c r="XP81" s="93"/>
      <c r="XQ81" s="93"/>
      <c r="XR81" s="93"/>
      <c r="XS81" s="93"/>
      <c r="XT81" s="93"/>
      <c r="XU81" s="93"/>
      <c r="XV81" s="93"/>
      <c r="XW81" s="93"/>
      <c r="XX81" s="93"/>
      <c r="XY81" s="93"/>
      <c r="XZ81" s="93"/>
      <c r="YA81" s="93"/>
      <c r="YB81" s="93"/>
      <c r="YC81" s="93"/>
      <c r="YD81" s="93"/>
      <c r="YE81" s="93"/>
      <c r="YF81" s="93"/>
      <c r="YG81" s="93"/>
      <c r="YH81" s="93"/>
      <c r="YI81" s="93"/>
      <c r="YJ81" s="93"/>
      <c r="YK81" s="93"/>
      <c r="YL81" s="93"/>
      <c r="YM81" s="93"/>
      <c r="YN81" s="93"/>
      <c r="YO81" s="93"/>
      <c r="YP81" s="93"/>
      <c r="YQ81" s="93"/>
      <c r="YR81" s="93"/>
      <c r="YS81" s="93"/>
      <c r="YT81" s="93"/>
      <c r="YU81" s="93"/>
      <c r="YV81" s="93"/>
      <c r="YW81" s="93"/>
      <c r="YX81" s="93"/>
      <c r="YY81" s="93"/>
      <c r="YZ81" s="93"/>
      <c r="ZA81" s="93"/>
      <c r="ZB81" s="93"/>
      <c r="ZC81" s="93"/>
      <c r="ZD81" s="93"/>
      <c r="ZE81" s="93"/>
      <c r="ZF81" s="93"/>
      <c r="ZG81" s="93"/>
      <c r="ZH81" s="93"/>
      <c r="ZI81" s="93"/>
      <c r="ZJ81" s="93"/>
      <c r="ZK81" s="93"/>
      <c r="ZL81" s="93"/>
      <c r="ZM81" s="93"/>
      <c r="ZN81" s="93"/>
      <c r="ZO81" s="93"/>
      <c r="ZP81" s="93"/>
      <c r="ZQ81" s="93"/>
      <c r="ZR81" s="93"/>
      <c r="ZS81" s="93"/>
      <c r="ZT81" s="93"/>
      <c r="ZU81" s="93"/>
      <c r="ZV81" s="93"/>
      <c r="ZW81" s="93"/>
      <c r="ZX81" s="93"/>
      <c r="ZY81" s="93"/>
      <c r="ZZ81" s="93"/>
      <c r="AAA81" s="93"/>
      <c r="AAB81" s="93"/>
      <c r="AAC81" s="93"/>
      <c r="AAD81" s="93"/>
      <c r="AAE81" s="93"/>
      <c r="AAF81" s="93"/>
      <c r="AAG81" s="93"/>
      <c r="AAH81" s="93"/>
      <c r="AAI81" s="93"/>
      <c r="AAJ81" s="93"/>
      <c r="AAK81" s="93"/>
      <c r="AAL81" s="93"/>
      <c r="AAM81" s="93"/>
      <c r="AAN81" s="93"/>
      <c r="AAO81" s="93"/>
      <c r="AAP81" s="93"/>
      <c r="AAQ81" s="93"/>
      <c r="AAR81" s="93"/>
      <c r="AAS81" s="93"/>
      <c r="AAT81" s="93"/>
      <c r="AAU81" s="93"/>
      <c r="AAV81" s="93"/>
      <c r="AAW81" s="93"/>
      <c r="AAX81" s="93"/>
      <c r="AAY81" s="93"/>
      <c r="AAZ81" s="93"/>
      <c r="ABA81" s="93"/>
      <c r="ABB81" s="93"/>
      <c r="ABC81" s="93"/>
      <c r="ABD81" s="93"/>
      <c r="ABE81" s="93"/>
      <c r="ABF81" s="93"/>
      <c r="ABG81" s="93"/>
      <c r="ABH81" s="93"/>
      <c r="ABI81" s="93"/>
      <c r="ABJ81" s="93"/>
      <c r="ABK81" s="93"/>
      <c r="ABL81" s="93"/>
      <c r="ABM81" s="93"/>
      <c r="ABN81" s="93"/>
      <c r="ABO81" s="93"/>
      <c r="ABP81" s="93"/>
      <c r="ABQ81" s="93"/>
      <c r="ABR81" s="93"/>
      <c r="ABS81" s="93"/>
      <c r="ABT81" s="93"/>
      <c r="ABU81" s="93"/>
      <c r="ABV81" s="93"/>
      <c r="ABW81" s="93"/>
      <c r="ABX81" s="93"/>
      <c r="ABY81" s="93"/>
      <c r="ABZ81" s="93"/>
      <c r="ACA81" s="93"/>
      <c r="ACB81" s="93"/>
      <c r="ACC81" s="93"/>
      <c r="ACD81" s="93"/>
      <c r="ACE81" s="93"/>
      <c r="ACF81" s="93"/>
      <c r="ACG81" s="93"/>
      <c r="ACH81" s="93"/>
      <c r="ACI81" s="93"/>
      <c r="ACJ81" s="93"/>
      <c r="ACK81" s="93"/>
      <c r="ACL81" s="93"/>
      <c r="ACM81" s="93"/>
      <c r="ACN81" s="93"/>
      <c r="ACO81" s="93"/>
      <c r="ACP81" s="93"/>
      <c r="ACQ81" s="93"/>
      <c r="ACR81" s="93"/>
      <c r="ACS81" s="93"/>
      <c r="ACT81" s="93"/>
      <c r="ACU81" s="93"/>
      <c r="ACV81" s="93"/>
      <c r="ACW81" s="93"/>
      <c r="ACX81" s="93"/>
      <c r="ACY81" s="93"/>
      <c r="ACZ81" s="93"/>
      <c r="ADA81" s="93"/>
      <c r="ADB81" s="93"/>
      <c r="ADC81" s="93"/>
      <c r="ADD81" s="93"/>
      <c r="ADE81" s="93"/>
      <c r="ADF81" s="93"/>
      <c r="ADG81" s="93"/>
      <c r="ADH81" s="93"/>
      <c r="ADI81" s="93"/>
      <c r="ADJ81" s="93"/>
      <c r="ADK81" s="93"/>
      <c r="ADL81" s="93"/>
      <c r="ADM81" s="93"/>
      <c r="ADN81" s="93"/>
      <c r="ADO81" s="93"/>
      <c r="ADP81" s="93"/>
      <c r="ADQ81" s="93"/>
      <c r="ADR81" s="93"/>
      <c r="ADS81" s="93"/>
      <c r="ADT81" s="93"/>
      <c r="ADU81" s="93"/>
      <c r="ADV81" s="93"/>
      <c r="ADW81" s="93"/>
      <c r="ADX81" s="93"/>
      <c r="ADY81" s="93"/>
      <c r="ADZ81" s="93"/>
      <c r="AEA81" s="93"/>
      <c r="AEB81" s="93"/>
      <c r="AEC81" s="93"/>
      <c r="AED81" s="93"/>
      <c r="AEE81" s="93"/>
      <c r="AEF81" s="93"/>
      <c r="AEG81" s="93"/>
      <c r="AEH81" s="93"/>
      <c r="AEI81" s="93"/>
      <c r="AEJ81" s="93"/>
      <c r="AEK81" s="93"/>
      <c r="AEL81" s="93"/>
      <c r="AEM81" s="93"/>
      <c r="AEN81" s="93"/>
      <c r="AEO81" s="93"/>
      <c r="AEP81" s="93"/>
      <c r="AEQ81" s="93"/>
      <c r="AER81" s="93"/>
      <c r="AES81" s="93"/>
      <c r="AET81" s="93"/>
      <c r="AEU81" s="93"/>
      <c r="AEV81" s="93"/>
      <c r="AEW81" s="93"/>
      <c r="AEX81" s="93"/>
      <c r="AEY81" s="93"/>
      <c r="AEZ81" s="93"/>
      <c r="AFA81" s="93"/>
      <c r="AFB81" s="93"/>
      <c r="AFC81" s="93"/>
      <c r="AFD81" s="93"/>
      <c r="AFE81" s="93"/>
      <c r="AFF81" s="93"/>
      <c r="AFG81" s="93"/>
      <c r="AFH81" s="93"/>
      <c r="AFI81" s="93"/>
      <c r="AFJ81" s="93"/>
      <c r="AFK81" s="93"/>
      <c r="AFL81" s="93"/>
      <c r="AFM81" s="93"/>
      <c r="AFN81" s="93"/>
      <c r="AFO81" s="93"/>
      <c r="AFP81" s="93"/>
      <c r="AFQ81" s="93"/>
      <c r="AFR81" s="93"/>
      <c r="AFS81" s="93"/>
      <c r="AFT81" s="93"/>
      <c r="AFU81" s="93"/>
      <c r="AFV81" s="93"/>
      <c r="AFW81" s="93"/>
      <c r="AFX81" s="93"/>
      <c r="AFY81" s="93"/>
      <c r="AFZ81" s="93"/>
      <c r="AGA81" s="93"/>
      <c r="AGB81" s="93"/>
      <c r="AGC81" s="93"/>
      <c r="AGD81" s="93"/>
      <c r="AGE81" s="93"/>
      <c r="AGF81" s="93"/>
      <c r="AGG81" s="93"/>
      <c r="AGH81" s="93"/>
      <c r="AGI81" s="93"/>
      <c r="AGJ81" s="93"/>
      <c r="AGK81" s="93"/>
      <c r="AGL81" s="93"/>
      <c r="AGM81" s="93"/>
      <c r="AGN81" s="93"/>
      <c r="AGO81" s="93"/>
      <c r="AGP81" s="93"/>
      <c r="AGQ81" s="93"/>
      <c r="AGR81" s="93"/>
      <c r="AGS81" s="93"/>
      <c r="AGT81" s="93"/>
      <c r="AGU81" s="93"/>
      <c r="AGV81" s="93"/>
      <c r="AGW81" s="93"/>
      <c r="AGX81" s="93"/>
      <c r="AGY81" s="93"/>
      <c r="AGZ81" s="93"/>
      <c r="AHA81" s="93"/>
      <c r="AHB81" s="93"/>
      <c r="AHC81" s="93"/>
      <c r="AHD81" s="93"/>
      <c r="AHE81" s="93"/>
      <c r="AHF81" s="93"/>
      <c r="AHG81" s="93"/>
      <c r="AHH81" s="93"/>
      <c r="AHI81" s="93"/>
      <c r="AHJ81" s="93"/>
      <c r="AHK81" s="93"/>
      <c r="AHL81" s="93"/>
      <c r="AHM81" s="93"/>
      <c r="AHN81" s="93"/>
      <c r="AHO81" s="93"/>
      <c r="AHP81" s="93"/>
      <c r="AHQ81" s="93"/>
      <c r="AHR81" s="93"/>
      <c r="AHS81" s="93"/>
      <c r="AHT81" s="93"/>
      <c r="AHU81" s="93"/>
      <c r="AHV81" s="93"/>
      <c r="AHW81" s="93"/>
      <c r="AHX81" s="93"/>
      <c r="AHY81" s="93"/>
      <c r="AHZ81" s="93"/>
      <c r="AIA81" s="93"/>
      <c r="AIB81" s="93"/>
      <c r="AIC81" s="93"/>
      <c r="AID81" s="93"/>
      <c r="AIE81" s="93"/>
      <c r="AIF81" s="93"/>
      <c r="AIG81" s="93"/>
      <c r="AIH81" s="93"/>
      <c r="AII81" s="93"/>
      <c r="AIJ81" s="93"/>
      <c r="AIK81" s="93"/>
      <c r="AIL81" s="93"/>
      <c r="AIM81" s="93"/>
      <c r="AIN81" s="93"/>
      <c r="AIO81" s="93"/>
      <c r="AIP81" s="93"/>
      <c r="AIQ81" s="93"/>
      <c r="AIR81" s="93"/>
      <c r="AIS81" s="93"/>
      <c r="AIT81" s="93"/>
      <c r="AIU81" s="93"/>
      <c r="AIV81" s="93"/>
      <c r="AIW81" s="93"/>
      <c r="AIX81" s="93"/>
      <c r="AIY81" s="93"/>
      <c r="AIZ81" s="93"/>
      <c r="AJA81" s="93"/>
      <c r="AJB81" s="93"/>
      <c r="AJC81" s="93"/>
      <c r="AJD81" s="93"/>
      <c r="AJE81" s="93"/>
      <c r="AJF81" s="93"/>
      <c r="AJG81" s="93"/>
      <c r="AJH81" s="93"/>
      <c r="AJI81" s="93"/>
      <c r="AJJ81" s="93"/>
    </row>
    <row r="82" spans="1:946" s="360" customFormat="1">
      <c r="A82" s="141"/>
      <c r="B82" s="153"/>
      <c r="C82" s="140"/>
      <c r="D82" s="93"/>
      <c r="E82" s="152"/>
      <c r="F82" s="140"/>
      <c r="G82" s="114"/>
      <c r="H82" s="161"/>
      <c r="I82" s="150"/>
      <c r="J82" s="93"/>
      <c r="K82" s="93"/>
      <c r="L82" s="93"/>
      <c r="M82" s="132"/>
      <c r="N82" s="93"/>
      <c r="O82" s="93"/>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3"/>
      <c r="BB82" s="93"/>
      <c r="BC82" s="93"/>
      <c r="BD82" s="93"/>
      <c r="BE82" s="93"/>
      <c r="BF82" s="93"/>
      <c r="BG82" s="93"/>
      <c r="BH82" s="93"/>
      <c r="BI82" s="93"/>
      <c r="BJ82" s="93"/>
      <c r="BK82" s="93"/>
      <c r="BL82" s="93"/>
      <c r="BM82" s="93"/>
      <c r="BN82" s="93"/>
      <c r="BO82" s="93"/>
      <c r="BP82" s="93"/>
      <c r="BQ82" s="93"/>
      <c r="BR82" s="93"/>
      <c r="BS82" s="93"/>
      <c r="BT82" s="93"/>
      <c r="BU82" s="93"/>
      <c r="BV82" s="93"/>
      <c r="BW82" s="93"/>
      <c r="BX82" s="93"/>
      <c r="BY82" s="93"/>
      <c r="BZ82" s="93"/>
      <c r="CA82" s="93"/>
      <c r="CB82" s="93"/>
      <c r="CC82" s="93"/>
      <c r="CD82" s="93"/>
      <c r="CE82" s="93"/>
      <c r="CF82" s="93"/>
      <c r="CG82" s="93"/>
      <c r="CH82" s="93"/>
      <c r="CI82" s="93"/>
      <c r="CJ82" s="93"/>
      <c r="CK82" s="93"/>
      <c r="CL82" s="93"/>
      <c r="CM82" s="93"/>
      <c r="CN82" s="93"/>
      <c r="CO82" s="93"/>
      <c r="CP82" s="93"/>
      <c r="CQ82" s="93"/>
      <c r="CR82" s="93"/>
      <c r="CS82" s="93"/>
      <c r="CT82" s="93"/>
      <c r="CU82" s="93"/>
      <c r="CV82" s="93"/>
      <c r="CW82" s="93"/>
      <c r="CX82" s="93"/>
      <c r="CY82" s="93"/>
      <c r="CZ82" s="93"/>
      <c r="DA82" s="93"/>
      <c r="DB82" s="93"/>
      <c r="DC82" s="93"/>
      <c r="DD82" s="93"/>
      <c r="DE82" s="93"/>
      <c r="DF82" s="93"/>
      <c r="DG82" s="93"/>
      <c r="DH82" s="93"/>
      <c r="DI82" s="93"/>
      <c r="DJ82" s="93"/>
      <c r="DK82" s="93"/>
      <c r="DL82" s="93"/>
      <c r="DM82" s="93"/>
      <c r="DN82" s="93"/>
      <c r="DO82" s="93"/>
      <c r="DP82" s="93"/>
      <c r="DQ82" s="93"/>
      <c r="DR82" s="93"/>
      <c r="DS82" s="93"/>
      <c r="DT82" s="93"/>
      <c r="DU82" s="93"/>
      <c r="DV82" s="93"/>
      <c r="DW82" s="93"/>
      <c r="DX82" s="93"/>
      <c r="DY82" s="93"/>
      <c r="DZ82" s="93"/>
      <c r="EA82" s="93"/>
      <c r="EB82" s="93"/>
      <c r="EC82" s="93"/>
      <c r="ED82" s="93"/>
      <c r="EE82" s="93"/>
      <c r="EF82" s="93"/>
      <c r="EG82" s="93"/>
      <c r="EH82" s="93"/>
      <c r="EI82" s="93"/>
      <c r="EJ82" s="93"/>
      <c r="EK82" s="93"/>
      <c r="EL82" s="93"/>
      <c r="EM82" s="93"/>
      <c r="EN82" s="93"/>
      <c r="EO82" s="93"/>
      <c r="EP82" s="93"/>
      <c r="EQ82" s="93"/>
      <c r="ER82" s="93"/>
      <c r="ES82" s="93"/>
      <c r="ET82" s="93"/>
      <c r="EU82" s="93"/>
      <c r="EV82" s="93"/>
      <c r="EW82" s="93"/>
      <c r="EX82" s="93"/>
      <c r="EY82" s="93"/>
      <c r="EZ82" s="93"/>
      <c r="FA82" s="93"/>
      <c r="FB82" s="93"/>
      <c r="FC82" s="93"/>
      <c r="FD82" s="93"/>
      <c r="FE82" s="93"/>
      <c r="FF82" s="93"/>
      <c r="FG82" s="93"/>
      <c r="FH82" s="93"/>
      <c r="FI82" s="93"/>
      <c r="FJ82" s="93"/>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3"/>
      <c r="GJ82" s="93"/>
      <c r="GK82" s="93"/>
      <c r="GL82" s="93"/>
      <c r="GM82" s="93"/>
      <c r="GN82" s="93"/>
      <c r="GO82" s="93"/>
      <c r="GP82" s="93"/>
      <c r="GQ82" s="93"/>
      <c r="GR82" s="93"/>
      <c r="GS82" s="93"/>
      <c r="GT82" s="93"/>
      <c r="GU82" s="93"/>
      <c r="GV82" s="93"/>
      <c r="GW82" s="93"/>
      <c r="GX82" s="93"/>
      <c r="GY82" s="93"/>
      <c r="GZ82" s="93"/>
      <c r="HA82" s="93"/>
      <c r="HB82" s="93"/>
      <c r="HC82" s="93"/>
      <c r="HD82" s="93"/>
      <c r="HE82" s="93"/>
      <c r="HF82" s="93"/>
      <c r="HG82" s="93"/>
      <c r="HH82" s="93"/>
      <c r="HI82" s="93"/>
      <c r="HJ82" s="93"/>
      <c r="HK82" s="93"/>
      <c r="HL82" s="93"/>
      <c r="HM82" s="93"/>
      <c r="HN82" s="93"/>
      <c r="HO82" s="93"/>
      <c r="HP82" s="93"/>
      <c r="HQ82" s="93"/>
      <c r="HR82" s="93"/>
      <c r="HS82" s="93"/>
      <c r="HT82" s="93"/>
      <c r="HU82" s="93"/>
      <c r="HV82" s="93"/>
      <c r="HW82" s="93"/>
      <c r="HX82" s="93"/>
      <c r="HY82" s="93"/>
      <c r="HZ82" s="93"/>
      <c r="IA82" s="93"/>
      <c r="IB82" s="93"/>
      <c r="IC82" s="93"/>
      <c r="ID82" s="93"/>
      <c r="IE82" s="93"/>
      <c r="IF82" s="93"/>
      <c r="IG82" s="93"/>
      <c r="IH82" s="93"/>
      <c r="II82" s="93"/>
      <c r="IJ82" s="93"/>
      <c r="IK82" s="93"/>
      <c r="IL82" s="93"/>
      <c r="IM82" s="93"/>
      <c r="IN82" s="93"/>
      <c r="IO82" s="93"/>
      <c r="IP82" s="93"/>
      <c r="IQ82" s="93"/>
      <c r="IR82" s="93"/>
      <c r="IS82" s="93"/>
      <c r="IT82" s="93"/>
      <c r="IU82" s="93"/>
      <c r="IV82" s="93"/>
      <c r="IW82" s="93"/>
      <c r="IX82" s="93"/>
      <c r="IY82" s="93"/>
      <c r="IZ82" s="93"/>
      <c r="JA82" s="93"/>
      <c r="JB82" s="93"/>
      <c r="JC82" s="93"/>
      <c r="JD82" s="93"/>
      <c r="JE82" s="93"/>
      <c r="JF82" s="93"/>
      <c r="JG82" s="93"/>
      <c r="JH82" s="93"/>
      <c r="JI82" s="93"/>
      <c r="JJ82" s="93"/>
      <c r="JK82" s="93"/>
      <c r="JL82" s="93"/>
      <c r="JM82" s="93"/>
      <c r="JN82" s="93"/>
      <c r="JO82" s="93"/>
      <c r="JP82" s="93"/>
      <c r="JQ82" s="93"/>
      <c r="JR82" s="93"/>
      <c r="JS82" s="93"/>
      <c r="JT82" s="93"/>
      <c r="JU82" s="93"/>
      <c r="JV82" s="93"/>
      <c r="JW82" s="93"/>
      <c r="JX82" s="93"/>
      <c r="JY82" s="93"/>
      <c r="JZ82" s="93"/>
      <c r="KA82" s="93"/>
      <c r="KB82" s="93"/>
      <c r="KC82" s="93"/>
      <c r="KD82" s="93"/>
      <c r="KE82" s="93"/>
      <c r="KF82" s="93"/>
      <c r="KG82" s="93"/>
      <c r="KH82" s="93"/>
      <c r="KI82" s="93"/>
      <c r="KJ82" s="93"/>
      <c r="KK82" s="93"/>
      <c r="KL82" s="93"/>
      <c r="KM82" s="93"/>
      <c r="KN82" s="93"/>
      <c r="KO82" s="93"/>
      <c r="KP82" s="93"/>
      <c r="KQ82" s="93"/>
      <c r="KR82" s="93"/>
      <c r="KS82" s="93"/>
      <c r="KT82" s="93"/>
      <c r="KU82" s="93"/>
      <c r="KV82" s="93"/>
      <c r="KW82" s="93"/>
      <c r="KX82" s="93"/>
      <c r="KY82" s="93"/>
      <c r="KZ82" s="93"/>
      <c r="LA82" s="93"/>
      <c r="LB82" s="93"/>
      <c r="LC82" s="93"/>
      <c r="LD82" s="93"/>
      <c r="LE82" s="93"/>
      <c r="LF82" s="93"/>
      <c r="LG82" s="93"/>
      <c r="LH82" s="93"/>
      <c r="LI82" s="93"/>
      <c r="LJ82" s="93"/>
      <c r="LK82" s="93"/>
      <c r="LL82" s="93"/>
      <c r="LM82" s="93"/>
      <c r="LN82" s="93"/>
      <c r="LO82" s="93"/>
      <c r="LP82" s="93"/>
      <c r="LQ82" s="93"/>
      <c r="LR82" s="93"/>
      <c r="LS82" s="93"/>
      <c r="LT82" s="93"/>
      <c r="LU82" s="93"/>
      <c r="LV82" s="93"/>
      <c r="LW82" s="93"/>
      <c r="LX82" s="93"/>
      <c r="LY82" s="93"/>
      <c r="LZ82" s="93"/>
      <c r="MA82" s="93"/>
      <c r="MB82" s="93"/>
      <c r="MC82" s="93"/>
      <c r="MD82" s="93"/>
      <c r="ME82" s="93"/>
      <c r="MF82" s="93"/>
      <c r="MG82" s="93"/>
      <c r="MH82" s="93"/>
      <c r="MI82" s="93"/>
      <c r="MJ82" s="93"/>
      <c r="MK82" s="93"/>
      <c r="ML82" s="93"/>
      <c r="MM82" s="93"/>
      <c r="MN82" s="93"/>
      <c r="MO82" s="93"/>
      <c r="MP82" s="93"/>
      <c r="MQ82" s="93"/>
      <c r="MR82" s="93"/>
      <c r="MS82" s="93"/>
      <c r="MT82" s="93"/>
      <c r="MU82" s="93"/>
      <c r="MV82" s="93"/>
      <c r="MW82" s="93"/>
      <c r="MX82" s="93"/>
      <c r="MY82" s="93"/>
      <c r="MZ82" s="93"/>
      <c r="NA82" s="93"/>
      <c r="NB82" s="93"/>
      <c r="NC82" s="93"/>
      <c r="ND82" s="93"/>
      <c r="NE82" s="93"/>
      <c r="NF82" s="93"/>
      <c r="NG82" s="93"/>
      <c r="NH82" s="93"/>
      <c r="NI82" s="93"/>
      <c r="NJ82" s="93"/>
      <c r="NK82" s="93"/>
      <c r="NL82" s="93"/>
      <c r="NM82" s="93"/>
      <c r="NN82" s="93"/>
      <c r="NO82" s="93"/>
      <c r="NP82" s="93"/>
      <c r="NQ82" s="93"/>
      <c r="NR82" s="93"/>
      <c r="NS82" s="93"/>
      <c r="NT82" s="93"/>
      <c r="NU82" s="93"/>
      <c r="NV82" s="93"/>
      <c r="NW82" s="93"/>
      <c r="NX82" s="93"/>
      <c r="NY82" s="93"/>
      <c r="NZ82" s="93"/>
      <c r="OA82" s="93"/>
      <c r="OB82" s="93"/>
      <c r="OC82" s="93"/>
      <c r="OD82" s="93"/>
      <c r="OE82" s="93"/>
      <c r="OF82" s="93"/>
      <c r="OG82" s="93"/>
      <c r="OH82" s="93"/>
      <c r="OI82" s="93"/>
      <c r="OJ82" s="93"/>
      <c r="OK82" s="93"/>
      <c r="OL82" s="93"/>
      <c r="OM82" s="93"/>
      <c r="ON82" s="93"/>
      <c r="OO82" s="93"/>
      <c r="OP82" s="93"/>
      <c r="OQ82" s="93"/>
      <c r="OR82" s="93"/>
      <c r="OS82" s="93"/>
      <c r="OT82" s="93"/>
      <c r="OU82" s="93"/>
      <c r="OV82" s="93"/>
      <c r="OW82" s="93"/>
      <c r="OX82" s="93"/>
      <c r="OY82" s="93"/>
      <c r="OZ82" s="93"/>
      <c r="PA82" s="93"/>
      <c r="PB82" s="93"/>
      <c r="PC82" s="93"/>
      <c r="PD82" s="93"/>
      <c r="PE82" s="93"/>
      <c r="PF82" s="93"/>
      <c r="PG82" s="93"/>
      <c r="PH82" s="93"/>
      <c r="PI82" s="93"/>
      <c r="PJ82" s="93"/>
      <c r="PK82" s="93"/>
      <c r="PL82" s="93"/>
      <c r="PM82" s="93"/>
      <c r="PN82" s="93"/>
      <c r="PO82" s="93"/>
      <c r="PP82" s="93"/>
      <c r="PQ82" s="93"/>
      <c r="PR82" s="93"/>
      <c r="PS82" s="93"/>
      <c r="PT82" s="93"/>
      <c r="PU82" s="93"/>
      <c r="PV82" s="93"/>
      <c r="PW82" s="93"/>
      <c r="PX82" s="93"/>
      <c r="PY82" s="93"/>
      <c r="PZ82" s="93"/>
      <c r="QA82" s="93"/>
      <c r="QB82" s="93"/>
      <c r="QC82" s="93"/>
      <c r="QD82" s="93"/>
      <c r="QE82" s="93"/>
      <c r="QF82" s="93"/>
      <c r="QG82" s="93"/>
      <c r="QH82" s="93"/>
      <c r="QI82" s="93"/>
      <c r="QJ82" s="93"/>
      <c r="QK82" s="93"/>
      <c r="QL82" s="93"/>
      <c r="QM82" s="93"/>
      <c r="QN82" s="93"/>
      <c r="QO82" s="93"/>
      <c r="QP82" s="93"/>
      <c r="QQ82" s="93"/>
      <c r="QR82" s="93"/>
      <c r="QS82" s="93"/>
      <c r="QT82" s="93"/>
      <c r="QU82" s="93"/>
      <c r="QV82" s="93"/>
      <c r="QW82" s="93"/>
      <c r="QX82" s="93"/>
      <c r="QY82" s="93"/>
      <c r="QZ82" s="93"/>
      <c r="RA82" s="93"/>
      <c r="RB82" s="93"/>
      <c r="RC82" s="93"/>
      <c r="RD82" s="93"/>
      <c r="RE82" s="93"/>
      <c r="RF82" s="93"/>
      <c r="RG82" s="93"/>
      <c r="RH82" s="93"/>
      <c r="RI82" s="93"/>
      <c r="RJ82" s="93"/>
      <c r="RK82" s="93"/>
      <c r="RL82" s="93"/>
      <c r="RM82" s="93"/>
      <c r="RN82" s="93"/>
      <c r="RO82" s="93"/>
      <c r="RP82" s="93"/>
      <c r="RQ82" s="93"/>
      <c r="RR82" s="93"/>
      <c r="RS82" s="93"/>
      <c r="RT82" s="93"/>
      <c r="RU82" s="93"/>
      <c r="RV82" s="93"/>
      <c r="RW82" s="93"/>
      <c r="RX82" s="93"/>
      <c r="RY82" s="93"/>
      <c r="RZ82" s="93"/>
      <c r="SA82" s="93"/>
      <c r="SB82" s="93"/>
      <c r="SC82" s="93"/>
      <c r="SD82" s="93"/>
      <c r="SE82" s="93"/>
      <c r="SF82" s="93"/>
      <c r="SG82" s="93"/>
      <c r="SH82" s="93"/>
      <c r="SI82" s="93"/>
      <c r="SJ82" s="93"/>
      <c r="SK82" s="93"/>
      <c r="SL82" s="93"/>
      <c r="SM82" s="93"/>
      <c r="SN82" s="93"/>
      <c r="SO82" s="93"/>
      <c r="SP82" s="93"/>
      <c r="SQ82" s="93"/>
      <c r="SR82" s="93"/>
      <c r="SS82" s="93"/>
      <c r="ST82" s="93"/>
      <c r="SU82" s="93"/>
      <c r="SV82" s="93"/>
      <c r="SW82" s="93"/>
      <c r="SX82" s="93"/>
      <c r="SY82" s="93"/>
      <c r="SZ82" s="93"/>
      <c r="TA82" s="93"/>
      <c r="TB82" s="93"/>
      <c r="TC82" s="93"/>
      <c r="TD82" s="93"/>
      <c r="TE82" s="93"/>
      <c r="TF82" s="93"/>
      <c r="TG82" s="93"/>
      <c r="TH82" s="93"/>
      <c r="TI82" s="93"/>
      <c r="TJ82" s="93"/>
      <c r="TK82" s="93"/>
      <c r="TL82" s="93"/>
      <c r="TM82" s="93"/>
      <c r="TN82" s="93"/>
      <c r="TO82" s="93"/>
      <c r="TP82" s="93"/>
      <c r="TQ82" s="93"/>
      <c r="TR82" s="93"/>
      <c r="TS82" s="93"/>
      <c r="TT82" s="93"/>
      <c r="TU82" s="93"/>
      <c r="TV82" s="93"/>
      <c r="TW82" s="93"/>
      <c r="TX82" s="93"/>
      <c r="TY82" s="93"/>
      <c r="TZ82" s="93"/>
      <c r="UA82" s="93"/>
      <c r="UB82" s="93"/>
      <c r="UC82" s="93"/>
      <c r="UD82" s="93"/>
      <c r="UE82" s="93"/>
      <c r="UF82" s="93"/>
      <c r="UG82" s="93"/>
      <c r="UH82" s="93"/>
      <c r="UI82" s="93"/>
      <c r="UJ82" s="93"/>
      <c r="UK82" s="93"/>
      <c r="UL82" s="93"/>
      <c r="UM82" s="93"/>
      <c r="UN82" s="93"/>
      <c r="UO82" s="93"/>
      <c r="UP82" s="93"/>
      <c r="UQ82" s="93"/>
      <c r="UR82" s="93"/>
      <c r="US82" s="93"/>
      <c r="UT82" s="93"/>
      <c r="UU82" s="93"/>
      <c r="UV82" s="93"/>
      <c r="UW82" s="93"/>
      <c r="UX82" s="93"/>
      <c r="UY82" s="93"/>
      <c r="UZ82" s="93"/>
      <c r="VA82" s="93"/>
      <c r="VB82" s="93"/>
      <c r="VC82" s="93"/>
      <c r="VD82" s="93"/>
      <c r="VE82" s="93"/>
      <c r="VF82" s="93"/>
      <c r="VG82" s="93"/>
      <c r="VH82" s="93"/>
      <c r="VI82" s="93"/>
      <c r="VJ82" s="93"/>
      <c r="VK82" s="93"/>
      <c r="VL82" s="93"/>
      <c r="VM82" s="93"/>
      <c r="VN82" s="93"/>
      <c r="VO82" s="93"/>
      <c r="VP82" s="93"/>
      <c r="VQ82" s="93"/>
      <c r="VR82" s="93"/>
      <c r="VS82" s="93"/>
      <c r="VT82" s="93"/>
      <c r="VU82" s="93"/>
      <c r="VV82" s="93"/>
      <c r="VW82" s="93"/>
      <c r="VX82" s="93"/>
      <c r="VY82" s="93"/>
      <c r="VZ82" s="93"/>
      <c r="WA82" s="93"/>
      <c r="WB82" s="93"/>
      <c r="WC82" s="93"/>
      <c r="WD82" s="93"/>
      <c r="WE82" s="93"/>
      <c r="WF82" s="93"/>
      <c r="WG82" s="93"/>
      <c r="WH82" s="93"/>
      <c r="WI82" s="93"/>
      <c r="WJ82" s="93"/>
      <c r="WK82" s="93"/>
      <c r="WL82" s="93"/>
      <c r="WM82" s="93"/>
      <c r="WN82" s="93"/>
      <c r="WO82" s="93"/>
      <c r="WP82" s="93"/>
      <c r="WQ82" s="93"/>
      <c r="WR82" s="93"/>
      <c r="WS82" s="93"/>
      <c r="WT82" s="93"/>
      <c r="WU82" s="93"/>
      <c r="WV82" s="93"/>
      <c r="WW82" s="93"/>
      <c r="WX82" s="93"/>
      <c r="WY82" s="93"/>
      <c r="WZ82" s="93"/>
      <c r="XA82" s="93"/>
      <c r="XB82" s="93"/>
      <c r="XC82" s="93"/>
      <c r="XD82" s="93"/>
      <c r="XE82" s="93"/>
      <c r="XF82" s="93"/>
      <c r="XG82" s="93"/>
      <c r="XH82" s="93"/>
      <c r="XI82" s="93"/>
      <c r="XJ82" s="93"/>
      <c r="XK82" s="93"/>
      <c r="XL82" s="93"/>
      <c r="XM82" s="93"/>
      <c r="XN82" s="93"/>
      <c r="XO82" s="93"/>
      <c r="XP82" s="93"/>
      <c r="XQ82" s="93"/>
      <c r="XR82" s="93"/>
      <c r="XS82" s="93"/>
      <c r="XT82" s="93"/>
      <c r="XU82" s="93"/>
      <c r="XV82" s="93"/>
      <c r="XW82" s="93"/>
      <c r="XX82" s="93"/>
      <c r="XY82" s="93"/>
      <c r="XZ82" s="93"/>
      <c r="YA82" s="93"/>
      <c r="YB82" s="93"/>
      <c r="YC82" s="93"/>
      <c r="YD82" s="93"/>
      <c r="YE82" s="93"/>
      <c r="YF82" s="93"/>
      <c r="YG82" s="93"/>
      <c r="YH82" s="93"/>
      <c r="YI82" s="93"/>
      <c r="YJ82" s="93"/>
      <c r="YK82" s="93"/>
      <c r="YL82" s="93"/>
      <c r="YM82" s="93"/>
      <c r="YN82" s="93"/>
      <c r="YO82" s="93"/>
      <c r="YP82" s="93"/>
      <c r="YQ82" s="93"/>
      <c r="YR82" s="93"/>
      <c r="YS82" s="93"/>
      <c r="YT82" s="93"/>
      <c r="YU82" s="93"/>
      <c r="YV82" s="93"/>
      <c r="YW82" s="93"/>
      <c r="YX82" s="93"/>
      <c r="YY82" s="93"/>
      <c r="YZ82" s="93"/>
      <c r="ZA82" s="93"/>
      <c r="ZB82" s="93"/>
      <c r="ZC82" s="93"/>
      <c r="ZD82" s="93"/>
      <c r="ZE82" s="93"/>
      <c r="ZF82" s="93"/>
      <c r="ZG82" s="93"/>
      <c r="ZH82" s="93"/>
      <c r="ZI82" s="93"/>
      <c r="ZJ82" s="93"/>
      <c r="ZK82" s="93"/>
      <c r="ZL82" s="93"/>
      <c r="ZM82" s="93"/>
      <c r="ZN82" s="93"/>
      <c r="ZO82" s="93"/>
      <c r="ZP82" s="93"/>
      <c r="ZQ82" s="93"/>
      <c r="ZR82" s="93"/>
      <c r="ZS82" s="93"/>
      <c r="ZT82" s="93"/>
      <c r="ZU82" s="93"/>
      <c r="ZV82" s="93"/>
      <c r="ZW82" s="93"/>
      <c r="ZX82" s="93"/>
      <c r="ZY82" s="93"/>
      <c r="ZZ82" s="93"/>
      <c r="AAA82" s="93"/>
      <c r="AAB82" s="93"/>
      <c r="AAC82" s="93"/>
      <c r="AAD82" s="93"/>
      <c r="AAE82" s="93"/>
      <c r="AAF82" s="93"/>
      <c r="AAG82" s="93"/>
      <c r="AAH82" s="93"/>
      <c r="AAI82" s="93"/>
      <c r="AAJ82" s="93"/>
      <c r="AAK82" s="93"/>
      <c r="AAL82" s="93"/>
      <c r="AAM82" s="93"/>
      <c r="AAN82" s="93"/>
      <c r="AAO82" s="93"/>
      <c r="AAP82" s="93"/>
      <c r="AAQ82" s="93"/>
      <c r="AAR82" s="93"/>
      <c r="AAS82" s="93"/>
      <c r="AAT82" s="93"/>
      <c r="AAU82" s="93"/>
      <c r="AAV82" s="93"/>
      <c r="AAW82" s="93"/>
      <c r="AAX82" s="93"/>
      <c r="AAY82" s="93"/>
      <c r="AAZ82" s="93"/>
      <c r="ABA82" s="93"/>
      <c r="ABB82" s="93"/>
      <c r="ABC82" s="93"/>
      <c r="ABD82" s="93"/>
      <c r="ABE82" s="93"/>
      <c r="ABF82" s="93"/>
      <c r="ABG82" s="93"/>
      <c r="ABH82" s="93"/>
      <c r="ABI82" s="93"/>
      <c r="ABJ82" s="93"/>
      <c r="ABK82" s="93"/>
      <c r="ABL82" s="93"/>
      <c r="ABM82" s="93"/>
      <c r="ABN82" s="93"/>
      <c r="ABO82" s="93"/>
      <c r="ABP82" s="93"/>
      <c r="ABQ82" s="93"/>
      <c r="ABR82" s="93"/>
      <c r="ABS82" s="93"/>
      <c r="ABT82" s="93"/>
      <c r="ABU82" s="93"/>
      <c r="ABV82" s="93"/>
      <c r="ABW82" s="93"/>
      <c r="ABX82" s="93"/>
      <c r="ABY82" s="93"/>
      <c r="ABZ82" s="93"/>
      <c r="ACA82" s="93"/>
      <c r="ACB82" s="93"/>
      <c r="ACC82" s="93"/>
      <c r="ACD82" s="93"/>
      <c r="ACE82" s="93"/>
      <c r="ACF82" s="93"/>
      <c r="ACG82" s="93"/>
      <c r="ACH82" s="93"/>
      <c r="ACI82" s="93"/>
      <c r="ACJ82" s="93"/>
      <c r="ACK82" s="93"/>
      <c r="ACL82" s="93"/>
      <c r="ACM82" s="93"/>
      <c r="ACN82" s="93"/>
      <c r="ACO82" s="93"/>
      <c r="ACP82" s="93"/>
      <c r="ACQ82" s="93"/>
      <c r="ACR82" s="93"/>
      <c r="ACS82" s="93"/>
      <c r="ACT82" s="93"/>
      <c r="ACU82" s="93"/>
      <c r="ACV82" s="93"/>
      <c r="ACW82" s="93"/>
      <c r="ACX82" s="93"/>
      <c r="ACY82" s="93"/>
      <c r="ACZ82" s="93"/>
      <c r="ADA82" s="93"/>
      <c r="ADB82" s="93"/>
      <c r="ADC82" s="93"/>
      <c r="ADD82" s="93"/>
      <c r="ADE82" s="93"/>
      <c r="ADF82" s="93"/>
      <c r="ADG82" s="93"/>
      <c r="ADH82" s="93"/>
      <c r="ADI82" s="93"/>
      <c r="ADJ82" s="93"/>
      <c r="ADK82" s="93"/>
      <c r="ADL82" s="93"/>
      <c r="ADM82" s="93"/>
      <c r="ADN82" s="93"/>
      <c r="ADO82" s="93"/>
      <c r="ADP82" s="93"/>
      <c r="ADQ82" s="93"/>
      <c r="ADR82" s="93"/>
      <c r="ADS82" s="93"/>
      <c r="ADT82" s="93"/>
      <c r="ADU82" s="93"/>
      <c r="ADV82" s="93"/>
      <c r="ADW82" s="93"/>
      <c r="ADX82" s="93"/>
      <c r="ADY82" s="93"/>
      <c r="ADZ82" s="93"/>
      <c r="AEA82" s="93"/>
      <c r="AEB82" s="93"/>
      <c r="AEC82" s="93"/>
      <c r="AED82" s="93"/>
      <c r="AEE82" s="93"/>
      <c r="AEF82" s="93"/>
      <c r="AEG82" s="93"/>
      <c r="AEH82" s="93"/>
      <c r="AEI82" s="93"/>
      <c r="AEJ82" s="93"/>
      <c r="AEK82" s="93"/>
      <c r="AEL82" s="93"/>
      <c r="AEM82" s="93"/>
      <c r="AEN82" s="93"/>
      <c r="AEO82" s="93"/>
      <c r="AEP82" s="93"/>
      <c r="AEQ82" s="93"/>
      <c r="AER82" s="93"/>
      <c r="AES82" s="93"/>
      <c r="AET82" s="93"/>
      <c r="AEU82" s="93"/>
      <c r="AEV82" s="93"/>
      <c r="AEW82" s="93"/>
      <c r="AEX82" s="93"/>
      <c r="AEY82" s="93"/>
      <c r="AEZ82" s="93"/>
      <c r="AFA82" s="93"/>
      <c r="AFB82" s="93"/>
      <c r="AFC82" s="93"/>
      <c r="AFD82" s="93"/>
      <c r="AFE82" s="93"/>
      <c r="AFF82" s="93"/>
      <c r="AFG82" s="93"/>
      <c r="AFH82" s="93"/>
      <c r="AFI82" s="93"/>
      <c r="AFJ82" s="93"/>
      <c r="AFK82" s="93"/>
      <c r="AFL82" s="93"/>
      <c r="AFM82" s="93"/>
      <c r="AFN82" s="93"/>
      <c r="AFO82" s="93"/>
      <c r="AFP82" s="93"/>
      <c r="AFQ82" s="93"/>
      <c r="AFR82" s="93"/>
      <c r="AFS82" s="93"/>
      <c r="AFT82" s="93"/>
      <c r="AFU82" s="93"/>
      <c r="AFV82" s="93"/>
      <c r="AFW82" s="93"/>
      <c r="AFX82" s="93"/>
      <c r="AFY82" s="93"/>
      <c r="AFZ82" s="93"/>
      <c r="AGA82" s="93"/>
      <c r="AGB82" s="93"/>
      <c r="AGC82" s="93"/>
      <c r="AGD82" s="93"/>
      <c r="AGE82" s="93"/>
      <c r="AGF82" s="93"/>
      <c r="AGG82" s="93"/>
      <c r="AGH82" s="93"/>
      <c r="AGI82" s="93"/>
      <c r="AGJ82" s="93"/>
      <c r="AGK82" s="93"/>
      <c r="AGL82" s="93"/>
      <c r="AGM82" s="93"/>
      <c r="AGN82" s="93"/>
      <c r="AGO82" s="93"/>
      <c r="AGP82" s="93"/>
      <c r="AGQ82" s="93"/>
      <c r="AGR82" s="93"/>
      <c r="AGS82" s="93"/>
      <c r="AGT82" s="93"/>
      <c r="AGU82" s="93"/>
      <c r="AGV82" s="93"/>
      <c r="AGW82" s="93"/>
      <c r="AGX82" s="93"/>
      <c r="AGY82" s="93"/>
      <c r="AGZ82" s="93"/>
      <c r="AHA82" s="93"/>
      <c r="AHB82" s="93"/>
      <c r="AHC82" s="93"/>
      <c r="AHD82" s="93"/>
      <c r="AHE82" s="93"/>
      <c r="AHF82" s="93"/>
      <c r="AHG82" s="93"/>
      <c r="AHH82" s="93"/>
      <c r="AHI82" s="93"/>
      <c r="AHJ82" s="93"/>
      <c r="AHK82" s="93"/>
      <c r="AHL82" s="93"/>
      <c r="AHM82" s="93"/>
      <c r="AHN82" s="93"/>
      <c r="AHO82" s="93"/>
      <c r="AHP82" s="93"/>
      <c r="AHQ82" s="93"/>
      <c r="AHR82" s="93"/>
      <c r="AHS82" s="93"/>
      <c r="AHT82" s="93"/>
      <c r="AHU82" s="93"/>
      <c r="AHV82" s="93"/>
      <c r="AHW82" s="93"/>
      <c r="AHX82" s="93"/>
      <c r="AHY82" s="93"/>
      <c r="AHZ82" s="93"/>
      <c r="AIA82" s="93"/>
      <c r="AIB82" s="93"/>
      <c r="AIC82" s="93"/>
      <c r="AID82" s="93"/>
      <c r="AIE82" s="93"/>
      <c r="AIF82" s="93"/>
      <c r="AIG82" s="93"/>
      <c r="AIH82" s="93"/>
      <c r="AII82" s="93"/>
      <c r="AIJ82" s="93"/>
      <c r="AIK82" s="93"/>
      <c r="AIL82" s="93"/>
      <c r="AIM82" s="93"/>
      <c r="AIN82" s="93"/>
      <c r="AIO82" s="93"/>
      <c r="AIP82" s="93"/>
      <c r="AIQ82" s="93"/>
      <c r="AIR82" s="93"/>
      <c r="AIS82" s="93"/>
      <c r="AIT82" s="93"/>
      <c r="AIU82" s="93"/>
      <c r="AIV82" s="93"/>
      <c r="AIW82" s="93"/>
      <c r="AIX82" s="93"/>
      <c r="AIY82" s="93"/>
      <c r="AIZ82" s="93"/>
      <c r="AJA82" s="93"/>
      <c r="AJB82" s="93"/>
      <c r="AJC82" s="93"/>
      <c r="AJD82" s="93"/>
      <c r="AJE82" s="93"/>
      <c r="AJF82" s="93"/>
      <c r="AJG82" s="93"/>
      <c r="AJH82" s="93"/>
      <c r="AJI82" s="93"/>
      <c r="AJJ82" s="93"/>
    </row>
    <row r="83" spans="1:946" s="360" customFormat="1" ht="13.5" thickBot="1">
      <c r="A83" s="138"/>
      <c r="B83" s="130"/>
      <c r="C83" s="130"/>
      <c r="D83" s="130"/>
      <c r="E83" s="130"/>
      <c r="F83" s="130"/>
      <c r="G83" s="138" t="s">
        <v>274</v>
      </c>
      <c r="H83" s="130"/>
      <c r="I83" s="130"/>
      <c r="J83" s="972"/>
      <c r="K83" s="972"/>
      <c r="L83" s="972"/>
      <c r="M83" s="973"/>
      <c r="N83" s="93"/>
      <c r="O83" s="93"/>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3"/>
      <c r="BB83" s="93"/>
      <c r="BC83" s="93"/>
      <c r="BD83" s="93"/>
      <c r="BE83" s="93"/>
      <c r="BF83" s="93"/>
      <c r="BG83" s="93"/>
      <c r="BH83" s="93"/>
      <c r="BI83" s="93"/>
      <c r="BJ83" s="93"/>
      <c r="BK83" s="93"/>
      <c r="BL83" s="93"/>
      <c r="BM83" s="93"/>
      <c r="BN83" s="93"/>
      <c r="BO83" s="93"/>
      <c r="BP83" s="93"/>
      <c r="BQ83" s="93"/>
      <c r="BR83" s="93"/>
      <c r="BS83" s="93"/>
      <c r="BT83" s="93"/>
      <c r="BU83" s="93"/>
      <c r="BV83" s="93"/>
      <c r="BW83" s="93"/>
      <c r="BX83" s="93"/>
      <c r="BY83" s="93"/>
      <c r="BZ83" s="93"/>
      <c r="CA83" s="93"/>
      <c r="CB83" s="93"/>
      <c r="CC83" s="93"/>
      <c r="CD83" s="93"/>
      <c r="CE83" s="93"/>
      <c r="CF83" s="93"/>
      <c r="CG83" s="93"/>
      <c r="CH83" s="93"/>
      <c r="CI83" s="93"/>
      <c r="CJ83" s="93"/>
      <c r="CK83" s="93"/>
      <c r="CL83" s="93"/>
      <c r="CM83" s="93"/>
      <c r="CN83" s="93"/>
      <c r="CO83" s="93"/>
      <c r="CP83" s="93"/>
      <c r="CQ83" s="93"/>
      <c r="CR83" s="93"/>
      <c r="CS83" s="93"/>
      <c r="CT83" s="93"/>
      <c r="CU83" s="93"/>
      <c r="CV83" s="93"/>
      <c r="CW83" s="93"/>
      <c r="CX83" s="93"/>
      <c r="CY83" s="93"/>
      <c r="CZ83" s="93"/>
      <c r="DA83" s="93"/>
      <c r="DB83" s="93"/>
      <c r="DC83" s="93"/>
      <c r="DD83" s="93"/>
      <c r="DE83" s="93"/>
      <c r="DF83" s="93"/>
      <c r="DG83" s="93"/>
      <c r="DH83" s="93"/>
      <c r="DI83" s="93"/>
      <c r="DJ83" s="93"/>
      <c r="DK83" s="93"/>
      <c r="DL83" s="93"/>
      <c r="DM83" s="93"/>
      <c r="DN83" s="93"/>
      <c r="DO83" s="93"/>
      <c r="DP83" s="93"/>
      <c r="DQ83" s="93"/>
      <c r="DR83" s="93"/>
      <c r="DS83" s="93"/>
      <c r="DT83" s="93"/>
      <c r="DU83" s="93"/>
      <c r="DV83" s="93"/>
      <c r="DW83" s="93"/>
      <c r="DX83" s="93"/>
      <c r="DY83" s="93"/>
      <c r="DZ83" s="93"/>
      <c r="EA83" s="93"/>
      <c r="EB83" s="93"/>
      <c r="EC83" s="93"/>
      <c r="ED83" s="93"/>
      <c r="EE83" s="93"/>
      <c r="EF83" s="93"/>
      <c r="EG83" s="93"/>
      <c r="EH83" s="93"/>
      <c r="EI83" s="93"/>
      <c r="EJ83" s="93"/>
      <c r="EK83" s="93"/>
      <c r="EL83" s="93"/>
      <c r="EM83" s="93"/>
      <c r="EN83" s="93"/>
      <c r="EO83" s="93"/>
      <c r="EP83" s="93"/>
      <c r="EQ83" s="93"/>
      <c r="ER83" s="93"/>
      <c r="ES83" s="93"/>
      <c r="ET83" s="93"/>
      <c r="EU83" s="93"/>
      <c r="EV83" s="93"/>
      <c r="EW83" s="93"/>
      <c r="EX83" s="93"/>
      <c r="EY83" s="93"/>
      <c r="EZ83" s="93"/>
      <c r="FA83" s="93"/>
      <c r="FB83" s="93"/>
      <c r="FC83" s="93"/>
      <c r="FD83" s="93"/>
      <c r="FE83" s="93"/>
      <c r="FF83" s="93"/>
      <c r="FG83" s="93"/>
      <c r="FH83" s="93"/>
      <c r="FI83" s="93"/>
      <c r="FJ83" s="93"/>
      <c r="FK83" s="93"/>
      <c r="FL83" s="93"/>
      <c r="FM83" s="93"/>
      <c r="FN83" s="93"/>
      <c r="FO83" s="93"/>
      <c r="FP83" s="93"/>
      <c r="FQ83" s="93"/>
      <c r="FR83" s="93"/>
      <c r="FS83" s="93"/>
      <c r="FT83" s="93"/>
      <c r="FU83" s="93"/>
      <c r="FV83" s="93"/>
      <c r="FW83" s="93"/>
      <c r="FX83" s="93"/>
      <c r="FY83" s="93"/>
      <c r="FZ83" s="93"/>
      <c r="GA83" s="93"/>
      <c r="GB83" s="93"/>
      <c r="GC83" s="93"/>
      <c r="GD83" s="93"/>
      <c r="GE83" s="93"/>
      <c r="GF83" s="93"/>
      <c r="GG83" s="93"/>
      <c r="GH83" s="93"/>
      <c r="GI83" s="93"/>
      <c r="GJ83" s="93"/>
      <c r="GK83" s="93"/>
      <c r="GL83" s="93"/>
      <c r="GM83" s="93"/>
      <c r="GN83" s="93"/>
      <c r="GO83" s="93"/>
      <c r="GP83" s="93"/>
      <c r="GQ83" s="93"/>
      <c r="GR83" s="93"/>
      <c r="GS83" s="93"/>
      <c r="GT83" s="93"/>
      <c r="GU83" s="93"/>
      <c r="GV83" s="93"/>
      <c r="GW83" s="93"/>
      <c r="GX83" s="93"/>
      <c r="GY83" s="93"/>
      <c r="GZ83" s="93"/>
      <c r="HA83" s="93"/>
      <c r="HB83" s="93"/>
      <c r="HC83" s="93"/>
      <c r="HD83" s="93"/>
      <c r="HE83" s="93"/>
      <c r="HF83" s="93"/>
      <c r="HG83" s="93"/>
      <c r="HH83" s="93"/>
      <c r="HI83" s="93"/>
      <c r="HJ83" s="93"/>
      <c r="HK83" s="93"/>
      <c r="HL83" s="93"/>
      <c r="HM83" s="93"/>
      <c r="HN83" s="93"/>
      <c r="HO83" s="93"/>
      <c r="HP83" s="93"/>
      <c r="HQ83" s="93"/>
      <c r="HR83" s="93"/>
      <c r="HS83" s="93"/>
      <c r="HT83" s="93"/>
      <c r="HU83" s="93"/>
      <c r="HV83" s="93"/>
      <c r="HW83" s="93"/>
      <c r="HX83" s="93"/>
      <c r="HY83" s="93"/>
      <c r="HZ83" s="93"/>
      <c r="IA83" s="93"/>
      <c r="IB83" s="93"/>
      <c r="IC83" s="93"/>
      <c r="ID83" s="93"/>
      <c r="IE83" s="93"/>
      <c r="IF83" s="93"/>
      <c r="IG83" s="93"/>
      <c r="IH83" s="93"/>
      <c r="II83" s="93"/>
      <c r="IJ83" s="93"/>
      <c r="IK83" s="93"/>
      <c r="IL83" s="93"/>
      <c r="IM83" s="93"/>
      <c r="IN83" s="93"/>
      <c r="IO83" s="93"/>
      <c r="IP83" s="93"/>
      <c r="IQ83" s="93"/>
      <c r="IR83" s="93"/>
      <c r="IS83" s="93"/>
      <c r="IT83" s="93"/>
      <c r="IU83" s="93"/>
      <c r="IV83" s="93"/>
      <c r="IW83" s="93"/>
      <c r="IX83" s="93"/>
      <c r="IY83" s="93"/>
      <c r="IZ83" s="93"/>
      <c r="JA83" s="93"/>
      <c r="JB83" s="93"/>
      <c r="JC83" s="93"/>
      <c r="JD83" s="93"/>
      <c r="JE83" s="93"/>
      <c r="JF83" s="93"/>
      <c r="JG83" s="93"/>
      <c r="JH83" s="93"/>
      <c r="JI83" s="93"/>
      <c r="JJ83" s="93"/>
      <c r="JK83" s="93"/>
      <c r="JL83" s="93"/>
      <c r="JM83" s="93"/>
      <c r="JN83" s="93"/>
      <c r="JO83" s="93"/>
      <c r="JP83" s="93"/>
      <c r="JQ83" s="93"/>
      <c r="JR83" s="93"/>
      <c r="JS83" s="93"/>
      <c r="JT83" s="93"/>
      <c r="JU83" s="93"/>
      <c r="JV83" s="93"/>
      <c r="JW83" s="93"/>
      <c r="JX83" s="93"/>
      <c r="JY83" s="93"/>
      <c r="JZ83" s="93"/>
      <c r="KA83" s="93"/>
      <c r="KB83" s="93"/>
      <c r="KC83" s="93"/>
      <c r="KD83" s="93"/>
      <c r="KE83" s="93"/>
      <c r="KF83" s="93"/>
      <c r="KG83" s="93"/>
      <c r="KH83" s="93"/>
      <c r="KI83" s="93"/>
      <c r="KJ83" s="93"/>
      <c r="KK83" s="93"/>
      <c r="KL83" s="93"/>
      <c r="KM83" s="93"/>
      <c r="KN83" s="93"/>
      <c r="KO83" s="93"/>
      <c r="KP83" s="93"/>
      <c r="KQ83" s="93"/>
      <c r="KR83" s="93"/>
      <c r="KS83" s="93"/>
      <c r="KT83" s="93"/>
      <c r="KU83" s="93"/>
      <c r="KV83" s="93"/>
      <c r="KW83" s="93"/>
      <c r="KX83" s="93"/>
      <c r="KY83" s="93"/>
      <c r="KZ83" s="93"/>
      <c r="LA83" s="93"/>
      <c r="LB83" s="93"/>
      <c r="LC83" s="93"/>
      <c r="LD83" s="93"/>
      <c r="LE83" s="93"/>
      <c r="LF83" s="93"/>
      <c r="LG83" s="93"/>
      <c r="LH83" s="93"/>
      <c r="LI83" s="93"/>
      <c r="LJ83" s="93"/>
      <c r="LK83" s="93"/>
      <c r="LL83" s="93"/>
      <c r="LM83" s="93"/>
      <c r="LN83" s="93"/>
      <c r="LO83" s="93"/>
      <c r="LP83" s="93"/>
      <c r="LQ83" s="93"/>
      <c r="LR83" s="93"/>
      <c r="LS83" s="93"/>
      <c r="LT83" s="93"/>
      <c r="LU83" s="93"/>
      <c r="LV83" s="93"/>
      <c r="LW83" s="93"/>
      <c r="LX83" s="93"/>
      <c r="LY83" s="93"/>
      <c r="LZ83" s="93"/>
      <c r="MA83" s="93"/>
      <c r="MB83" s="93"/>
      <c r="MC83" s="93"/>
      <c r="MD83" s="93"/>
      <c r="ME83" s="93"/>
      <c r="MF83" s="93"/>
      <c r="MG83" s="93"/>
      <c r="MH83" s="93"/>
      <c r="MI83" s="93"/>
      <c r="MJ83" s="93"/>
      <c r="MK83" s="93"/>
      <c r="ML83" s="93"/>
      <c r="MM83" s="93"/>
      <c r="MN83" s="93"/>
      <c r="MO83" s="93"/>
      <c r="MP83" s="93"/>
      <c r="MQ83" s="93"/>
      <c r="MR83" s="93"/>
      <c r="MS83" s="93"/>
      <c r="MT83" s="93"/>
      <c r="MU83" s="93"/>
      <c r="MV83" s="93"/>
      <c r="MW83" s="93"/>
      <c r="MX83" s="93"/>
      <c r="MY83" s="93"/>
      <c r="MZ83" s="93"/>
      <c r="NA83" s="93"/>
      <c r="NB83" s="93"/>
      <c r="NC83" s="93"/>
      <c r="ND83" s="93"/>
      <c r="NE83" s="93"/>
      <c r="NF83" s="93"/>
      <c r="NG83" s="93"/>
      <c r="NH83" s="93"/>
      <c r="NI83" s="93"/>
      <c r="NJ83" s="93"/>
      <c r="NK83" s="93"/>
      <c r="NL83" s="93"/>
      <c r="NM83" s="93"/>
      <c r="NN83" s="93"/>
      <c r="NO83" s="93"/>
      <c r="NP83" s="93"/>
      <c r="NQ83" s="93"/>
      <c r="NR83" s="93"/>
      <c r="NS83" s="93"/>
      <c r="NT83" s="93"/>
      <c r="NU83" s="93"/>
      <c r="NV83" s="93"/>
      <c r="NW83" s="93"/>
      <c r="NX83" s="93"/>
      <c r="NY83" s="93"/>
      <c r="NZ83" s="93"/>
      <c r="OA83" s="93"/>
      <c r="OB83" s="93"/>
      <c r="OC83" s="93"/>
      <c r="OD83" s="93"/>
      <c r="OE83" s="93"/>
      <c r="OF83" s="93"/>
      <c r="OG83" s="93"/>
      <c r="OH83" s="93"/>
      <c r="OI83" s="93"/>
      <c r="OJ83" s="93"/>
      <c r="OK83" s="93"/>
      <c r="OL83" s="93"/>
      <c r="OM83" s="93"/>
      <c r="ON83" s="93"/>
      <c r="OO83" s="93"/>
      <c r="OP83" s="93"/>
      <c r="OQ83" s="93"/>
      <c r="OR83" s="93"/>
      <c r="OS83" s="93"/>
      <c r="OT83" s="93"/>
      <c r="OU83" s="93"/>
      <c r="OV83" s="93"/>
      <c r="OW83" s="93"/>
      <c r="OX83" s="93"/>
      <c r="OY83" s="93"/>
      <c r="OZ83" s="93"/>
      <c r="PA83" s="93"/>
      <c r="PB83" s="93"/>
      <c r="PC83" s="93"/>
      <c r="PD83" s="93"/>
      <c r="PE83" s="93"/>
      <c r="PF83" s="93"/>
      <c r="PG83" s="93"/>
      <c r="PH83" s="93"/>
      <c r="PI83" s="93"/>
      <c r="PJ83" s="93"/>
      <c r="PK83" s="93"/>
      <c r="PL83" s="93"/>
      <c r="PM83" s="93"/>
      <c r="PN83" s="93"/>
      <c r="PO83" s="93"/>
      <c r="PP83" s="93"/>
      <c r="PQ83" s="93"/>
      <c r="PR83" s="93"/>
      <c r="PS83" s="93"/>
      <c r="PT83" s="93"/>
      <c r="PU83" s="93"/>
      <c r="PV83" s="93"/>
      <c r="PW83" s="93"/>
      <c r="PX83" s="93"/>
      <c r="PY83" s="93"/>
      <c r="PZ83" s="93"/>
      <c r="QA83" s="93"/>
      <c r="QB83" s="93"/>
      <c r="QC83" s="93"/>
      <c r="QD83" s="93"/>
      <c r="QE83" s="93"/>
      <c r="QF83" s="93"/>
      <c r="QG83" s="93"/>
      <c r="QH83" s="93"/>
      <c r="QI83" s="93"/>
      <c r="QJ83" s="93"/>
      <c r="QK83" s="93"/>
      <c r="QL83" s="93"/>
      <c r="QM83" s="93"/>
      <c r="QN83" s="93"/>
      <c r="QO83" s="93"/>
      <c r="QP83" s="93"/>
      <c r="QQ83" s="93"/>
      <c r="QR83" s="93"/>
      <c r="QS83" s="93"/>
      <c r="QT83" s="93"/>
      <c r="QU83" s="93"/>
      <c r="QV83" s="93"/>
      <c r="QW83" s="93"/>
      <c r="QX83" s="93"/>
      <c r="QY83" s="93"/>
      <c r="QZ83" s="93"/>
      <c r="RA83" s="93"/>
      <c r="RB83" s="93"/>
      <c r="RC83" s="93"/>
      <c r="RD83" s="93"/>
      <c r="RE83" s="93"/>
      <c r="RF83" s="93"/>
      <c r="RG83" s="93"/>
      <c r="RH83" s="93"/>
      <c r="RI83" s="93"/>
      <c r="RJ83" s="93"/>
      <c r="RK83" s="93"/>
      <c r="RL83" s="93"/>
      <c r="RM83" s="93"/>
      <c r="RN83" s="93"/>
      <c r="RO83" s="93"/>
      <c r="RP83" s="93"/>
      <c r="RQ83" s="93"/>
      <c r="RR83" s="93"/>
      <c r="RS83" s="93"/>
      <c r="RT83" s="93"/>
      <c r="RU83" s="93"/>
      <c r="RV83" s="93"/>
      <c r="RW83" s="93"/>
      <c r="RX83" s="93"/>
      <c r="RY83" s="93"/>
      <c r="RZ83" s="93"/>
      <c r="SA83" s="93"/>
      <c r="SB83" s="93"/>
      <c r="SC83" s="93"/>
      <c r="SD83" s="93"/>
      <c r="SE83" s="93"/>
      <c r="SF83" s="93"/>
      <c r="SG83" s="93"/>
      <c r="SH83" s="93"/>
      <c r="SI83" s="93"/>
      <c r="SJ83" s="93"/>
      <c r="SK83" s="93"/>
      <c r="SL83" s="93"/>
      <c r="SM83" s="93"/>
      <c r="SN83" s="93"/>
      <c r="SO83" s="93"/>
      <c r="SP83" s="93"/>
      <c r="SQ83" s="93"/>
      <c r="SR83" s="93"/>
      <c r="SS83" s="93"/>
      <c r="ST83" s="93"/>
      <c r="SU83" s="93"/>
      <c r="SV83" s="93"/>
      <c r="SW83" s="93"/>
      <c r="SX83" s="93"/>
      <c r="SY83" s="93"/>
      <c r="SZ83" s="93"/>
      <c r="TA83" s="93"/>
      <c r="TB83" s="93"/>
      <c r="TC83" s="93"/>
      <c r="TD83" s="93"/>
      <c r="TE83" s="93"/>
      <c r="TF83" s="93"/>
      <c r="TG83" s="93"/>
      <c r="TH83" s="93"/>
      <c r="TI83" s="93"/>
      <c r="TJ83" s="93"/>
      <c r="TK83" s="93"/>
      <c r="TL83" s="93"/>
      <c r="TM83" s="93"/>
      <c r="TN83" s="93"/>
      <c r="TO83" s="93"/>
      <c r="TP83" s="93"/>
      <c r="TQ83" s="93"/>
      <c r="TR83" s="93"/>
      <c r="TS83" s="93"/>
      <c r="TT83" s="93"/>
      <c r="TU83" s="93"/>
      <c r="TV83" s="93"/>
      <c r="TW83" s="93"/>
      <c r="TX83" s="93"/>
      <c r="TY83" s="93"/>
      <c r="TZ83" s="93"/>
      <c r="UA83" s="93"/>
      <c r="UB83" s="93"/>
      <c r="UC83" s="93"/>
      <c r="UD83" s="93"/>
      <c r="UE83" s="93"/>
      <c r="UF83" s="93"/>
      <c r="UG83" s="93"/>
      <c r="UH83" s="93"/>
      <c r="UI83" s="93"/>
      <c r="UJ83" s="93"/>
      <c r="UK83" s="93"/>
      <c r="UL83" s="93"/>
      <c r="UM83" s="93"/>
      <c r="UN83" s="93"/>
      <c r="UO83" s="93"/>
      <c r="UP83" s="93"/>
      <c r="UQ83" s="93"/>
      <c r="UR83" s="93"/>
      <c r="US83" s="93"/>
      <c r="UT83" s="93"/>
      <c r="UU83" s="93"/>
      <c r="UV83" s="93"/>
      <c r="UW83" s="93"/>
      <c r="UX83" s="93"/>
      <c r="UY83" s="93"/>
      <c r="UZ83" s="93"/>
      <c r="VA83" s="93"/>
      <c r="VB83" s="93"/>
      <c r="VC83" s="93"/>
      <c r="VD83" s="93"/>
      <c r="VE83" s="93"/>
      <c r="VF83" s="93"/>
      <c r="VG83" s="93"/>
      <c r="VH83" s="93"/>
      <c r="VI83" s="93"/>
      <c r="VJ83" s="93"/>
      <c r="VK83" s="93"/>
      <c r="VL83" s="93"/>
      <c r="VM83" s="93"/>
      <c r="VN83" s="93"/>
      <c r="VO83" s="93"/>
      <c r="VP83" s="93"/>
      <c r="VQ83" s="93"/>
      <c r="VR83" s="93"/>
      <c r="VS83" s="93"/>
      <c r="VT83" s="93"/>
      <c r="VU83" s="93"/>
      <c r="VV83" s="93"/>
      <c r="VW83" s="93"/>
      <c r="VX83" s="93"/>
      <c r="VY83" s="93"/>
      <c r="VZ83" s="93"/>
      <c r="WA83" s="93"/>
      <c r="WB83" s="93"/>
      <c r="WC83" s="93"/>
      <c r="WD83" s="93"/>
      <c r="WE83" s="93"/>
      <c r="WF83" s="93"/>
      <c r="WG83" s="93"/>
      <c r="WH83" s="93"/>
      <c r="WI83" s="93"/>
      <c r="WJ83" s="93"/>
      <c r="WK83" s="93"/>
      <c r="WL83" s="93"/>
      <c r="WM83" s="93"/>
      <c r="WN83" s="93"/>
      <c r="WO83" s="93"/>
      <c r="WP83" s="93"/>
      <c r="WQ83" s="93"/>
      <c r="WR83" s="93"/>
      <c r="WS83" s="93"/>
      <c r="WT83" s="93"/>
      <c r="WU83" s="93"/>
      <c r="WV83" s="93"/>
      <c r="WW83" s="93"/>
      <c r="WX83" s="93"/>
      <c r="WY83" s="93"/>
      <c r="WZ83" s="93"/>
      <c r="XA83" s="93"/>
      <c r="XB83" s="93"/>
      <c r="XC83" s="93"/>
      <c r="XD83" s="93"/>
      <c r="XE83" s="93"/>
      <c r="XF83" s="93"/>
      <c r="XG83" s="93"/>
      <c r="XH83" s="93"/>
      <c r="XI83" s="93"/>
      <c r="XJ83" s="93"/>
      <c r="XK83" s="93"/>
      <c r="XL83" s="93"/>
      <c r="XM83" s="93"/>
      <c r="XN83" s="93"/>
      <c r="XO83" s="93"/>
      <c r="XP83" s="93"/>
      <c r="XQ83" s="93"/>
      <c r="XR83" s="93"/>
      <c r="XS83" s="93"/>
      <c r="XT83" s="93"/>
      <c r="XU83" s="93"/>
      <c r="XV83" s="93"/>
      <c r="XW83" s="93"/>
      <c r="XX83" s="93"/>
      <c r="XY83" s="93"/>
      <c r="XZ83" s="93"/>
      <c r="YA83" s="93"/>
      <c r="YB83" s="93"/>
      <c r="YC83" s="93"/>
      <c r="YD83" s="93"/>
      <c r="YE83" s="93"/>
      <c r="YF83" s="93"/>
      <c r="YG83" s="93"/>
      <c r="YH83" s="93"/>
      <c r="YI83" s="93"/>
      <c r="YJ83" s="93"/>
      <c r="YK83" s="93"/>
      <c r="YL83" s="93"/>
      <c r="YM83" s="93"/>
      <c r="YN83" s="93"/>
      <c r="YO83" s="93"/>
      <c r="YP83" s="93"/>
      <c r="YQ83" s="93"/>
      <c r="YR83" s="93"/>
      <c r="YS83" s="93"/>
      <c r="YT83" s="93"/>
      <c r="YU83" s="93"/>
      <c r="YV83" s="93"/>
      <c r="YW83" s="93"/>
      <c r="YX83" s="93"/>
      <c r="YY83" s="93"/>
      <c r="YZ83" s="93"/>
      <c r="ZA83" s="93"/>
      <c r="ZB83" s="93"/>
      <c r="ZC83" s="93"/>
      <c r="ZD83" s="93"/>
      <c r="ZE83" s="93"/>
      <c r="ZF83" s="93"/>
      <c r="ZG83" s="93"/>
      <c r="ZH83" s="93"/>
      <c r="ZI83" s="93"/>
      <c r="ZJ83" s="93"/>
      <c r="ZK83" s="93"/>
      <c r="ZL83" s="93"/>
      <c r="ZM83" s="93"/>
      <c r="ZN83" s="93"/>
      <c r="ZO83" s="93"/>
      <c r="ZP83" s="93"/>
      <c r="ZQ83" s="93"/>
      <c r="ZR83" s="93"/>
      <c r="ZS83" s="93"/>
      <c r="ZT83" s="93"/>
      <c r="ZU83" s="93"/>
      <c r="ZV83" s="93"/>
      <c r="ZW83" s="93"/>
      <c r="ZX83" s="93"/>
      <c r="ZY83" s="93"/>
      <c r="ZZ83" s="93"/>
      <c r="AAA83" s="93"/>
      <c r="AAB83" s="93"/>
      <c r="AAC83" s="93"/>
      <c r="AAD83" s="93"/>
      <c r="AAE83" s="93"/>
      <c r="AAF83" s="93"/>
      <c r="AAG83" s="93"/>
      <c r="AAH83" s="93"/>
      <c r="AAI83" s="93"/>
      <c r="AAJ83" s="93"/>
      <c r="AAK83" s="93"/>
      <c r="AAL83" s="93"/>
      <c r="AAM83" s="93"/>
      <c r="AAN83" s="93"/>
      <c r="AAO83" s="93"/>
      <c r="AAP83" s="93"/>
      <c r="AAQ83" s="93"/>
      <c r="AAR83" s="93"/>
      <c r="AAS83" s="93"/>
      <c r="AAT83" s="93"/>
      <c r="AAU83" s="93"/>
      <c r="AAV83" s="93"/>
      <c r="AAW83" s="93"/>
      <c r="AAX83" s="93"/>
      <c r="AAY83" s="93"/>
      <c r="AAZ83" s="93"/>
      <c r="ABA83" s="93"/>
      <c r="ABB83" s="93"/>
      <c r="ABC83" s="93"/>
      <c r="ABD83" s="93"/>
      <c r="ABE83" s="93"/>
      <c r="ABF83" s="93"/>
      <c r="ABG83" s="93"/>
      <c r="ABH83" s="93"/>
      <c r="ABI83" s="93"/>
      <c r="ABJ83" s="93"/>
      <c r="ABK83" s="93"/>
      <c r="ABL83" s="93"/>
      <c r="ABM83" s="93"/>
      <c r="ABN83" s="93"/>
      <c r="ABO83" s="93"/>
      <c r="ABP83" s="93"/>
      <c r="ABQ83" s="93"/>
      <c r="ABR83" s="93"/>
      <c r="ABS83" s="93"/>
      <c r="ABT83" s="93"/>
      <c r="ABU83" s="93"/>
      <c r="ABV83" s="93"/>
      <c r="ABW83" s="93"/>
      <c r="ABX83" s="93"/>
      <c r="ABY83" s="93"/>
      <c r="ABZ83" s="93"/>
      <c r="ACA83" s="93"/>
      <c r="ACB83" s="93"/>
      <c r="ACC83" s="93"/>
      <c r="ACD83" s="93"/>
      <c r="ACE83" s="93"/>
      <c r="ACF83" s="93"/>
      <c r="ACG83" s="93"/>
      <c r="ACH83" s="93"/>
      <c r="ACI83" s="93"/>
      <c r="ACJ83" s="93"/>
      <c r="ACK83" s="93"/>
      <c r="ACL83" s="93"/>
      <c r="ACM83" s="93"/>
      <c r="ACN83" s="93"/>
      <c r="ACO83" s="93"/>
      <c r="ACP83" s="93"/>
      <c r="ACQ83" s="93"/>
      <c r="ACR83" s="93"/>
      <c r="ACS83" s="93"/>
      <c r="ACT83" s="93"/>
      <c r="ACU83" s="93"/>
      <c r="ACV83" s="93"/>
      <c r="ACW83" s="93"/>
      <c r="ACX83" s="93"/>
      <c r="ACY83" s="93"/>
      <c r="ACZ83" s="93"/>
      <c r="ADA83" s="93"/>
      <c r="ADB83" s="93"/>
      <c r="ADC83" s="93"/>
      <c r="ADD83" s="93"/>
      <c r="ADE83" s="93"/>
      <c r="ADF83" s="93"/>
      <c r="ADG83" s="93"/>
      <c r="ADH83" s="93"/>
      <c r="ADI83" s="93"/>
      <c r="ADJ83" s="93"/>
      <c r="ADK83" s="93"/>
      <c r="ADL83" s="93"/>
      <c r="ADM83" s="93"/>
      <c r="ADN83" s="93"/>
      <c r="ADO83" s="93"/>
      <c r="ADP83" s="93"/>
      <c r="ADQ83" s="93"/>
      <c r="ADR83" s="93"/>
      <c r="ADS83" s="93"/>
      <c r="ADT83" s="93"/>
      <c r="ADU83" s="93"/>
      <c r="ADV83" s="93"/>
      <c r="ADW83" s="93"/>
      <c r="ADX83" s="93"/>
      <c r="ADY83" s="93"/>
      <c r="ADZ83" s="93"/>
      <c r="AEA83" s="93"/>
      <c r="AEB83" s="93"/>
      <c r="AEC83" s="93"/>
      <c r="AED83" s="93"/>
      <c r="AEE83" s="93"/>
      <c r="AEF83" s="93"/>
      <c r="AEG83" s="93"/>
      <c r="AEH83" s="93"/>
      <c r="AEI83" s="93"/>
      <c r="AEJ83" s="93"/>
      <c r="AEK83" s="93"/>
      <c r="AEL83" s="93"/>
      <c r="AEM83" s="93"/>
      <c r="AEN83" s="93"/>
      <c r="AEO83" s="93"/>
      <c r="AEP83" s="93"/>
      <c r="AEQ83" s="93"/>
      <c r="AER83" s="93"/>
      <c r="AES83" s="93"/>
      <c r="AET83" s="93"/>
      <c r="AEU83" s="93"/>
      <c r="AEV83" s="93"/>
      <c r="AEW83" s="93"/>
      <c r="AEX83" s="93"/>
      <c r="AEY83" s="93"/>
      <c r="AEZ83" s="93"/>
      <c r="AFA83" s="93"/>
      <c r="AFB83" s="93"/>
      <c r="AFC83" s="93"/>
      <c r="AFD83" s="93"/>
      <c r="AFE83" s="93"/>
      <c r="AFF83" s="93"/>
      <c r="AFG83" s="93"/>
      <c r="AFH83" s="93"/>
      <c r="AFI83" s="93"/>
      <c r="AFJ83" s="93"/>
      <c r="AFK83" s="93"/>
      <c r="AFL83" s="93"/>
      <c r="AFM83" s="93"/>
      <c r="AFN83" s="93"/>
      <c r="AFO83" s="93"/>
      <c r="AFP83" s="93"/>
      <c r="AFQ83" s="93"/>
      <c r="AFR83" s="93"/>
      <c r="AFS83" s="93"/>
      <c r="AFT83" s="93"/>
      <c r="AFU83" s="93"/>
      <c r="AFV83" s="93"/>
      <c r="AFW83" s="93"/>
      <c r="AFX83" s="93"/>
      <c r="AFY83" s="93"/>
      <c r="AFZ83" s="93"/>
      <c r="AGA83" s="93"/>
      <c r="AGB83" s="93"/>
      <c r="AGC83" s="93"/>
      <c r="AGD83" s="93"/>
      <c r="AGE83" s="93"/>
      <c r="AGF83" s="93"/>
      <c r="AGG83" s="93"/>
      <c r="AGH83" s="93"/>
      <c r="AGI83" s="93"/>
      <c r="AGJ83" s="93"/>
      <c r="AGK83" s="93"/>
      <c r="AGL83" s="93"/>
      <c r="AGM83" s="93"/>
      <c r="AGN83" s="93"/>
      <c r="AGO83" s="93"/>
      <c r="AGP83" s="93"/>
      <c r="AGQ83" s="93"/>
      <c r="AGR83" s="93"/>
      <c r="AGS83" s="93"/>
      <c r="AGT83" s="93"/>
      <c r="AGU83" s="93"/>
      <c r="AGV83" s="93"/>
      <c r="AGW83" s="93"/>
      <c r="AGX83" s="93"/>
      <c r="AGY83" s="93"/>
      <c r="AGZ83" s="93"/>
      <c r="AHA83" s="93"/>
      <c r="AHB83" s="93"/>
      <c r="AHC83" s="93"/>
      <c r="AHD83" s="93"/>
      <c r="AHE83" s="93"/>
      <c r="AHF83" s="93"/>
      <c r="AHG83" s="93"/>
      <c r="AHH83" s="93"/>
      <c r="AHI83" s="93"/>
      <c r="AHJ83" s="93"/>
      <c r="AHK83" s="93"/>
      <c r="AHL83" s="93"/>
      <c r="AHM83" s="93"/>
      <c r="AHN83" s="93"/>
      <c r="AHO83" s="93"/>
      <c r="AHP83" s="93"/>
      <c r="AHQ83" s="93"/>
      <c r="AHR83" s="93"/>
      <c r="AHS83" s="93"/>
      <c r="AHT83" s="93"/>
      <c r="AHU83" s="93"/>
      <c r="AHV83" s="93"/>
      <c r="AHW83" s="93"/>
      <c r="AHX83" s="93"/>
      <c r="AHY83" s="93"/>
      <c r="AHZ83" s="93"/>
      <c r="AIA83" s="93"/>
      <c r="AIB83" s="93"/>
      <c r="AIC83" s="93"/>
      <c r="AID83" s="93"/>
      <c r="AIE83" s="93"/>
      <c r="AIF83" s="93"/>
      <c r="AIG83" s="93"/>
      <c r="AIH83" s="93"/>
      <c r="AII83" s="93"/>
      <c r="AIJ83" s="93"/>
      <c r="AIK83" s="93"/>
      <c r="AIL83" s="93"/>
      <c r="AIM83" s="93"/>
      <c r="AIN83" s="93"/>
      <c r="AIO83" s="93"/>
      <c r="AIP83" s="93"/>
      <c r="AIQ83" s="93"/>
      <c r="AIR83" s="93"/>
      <c r="AIS83" s="93"/>
      <c r="AIT83" s="93"/>
      <c r="AIU83" s="93"/>
      <c r="AIV83" s="93"/>
      <c r="AIW83" s="93"/>
      <c r="AIX83" s="93"/>
      <c r="AIY83" s="93"/>
      <c r="AIZ83" s="93"/>
      <c r="AJA83" s="93"/>
      <c r="AJB83" s="93"/>
      <c r="AJC83" s="93"/>
      <c r="AJD83" s="93"/>
      <c r="AJE83" s="93"/>
      <c r="AJF83" s="93"/>
      <c r="AJG83" s="93"/>
      <c r="AJH83" s="93"/>
      <c r="AJI83" s="93"/>
      <c r="AJJ83" s="93"/>
    </row>
    <row r="86" spans="1:946" ht="13.5" thickBot="1">
      <c r="A86" s="154" t="s">
        <v>187</v>
      </c>
    </row>
    <row r="87" spans="1:946" ht="13.5" thickBot="1">
      <c r="A87" s="677"/>
      <c r="B87" s="670"/>
      <c r="C87" s="670"/>
      <c r="D87" s="670"/>
      <c r="E87" s="670"/>
      <c r="F87" s="670"/>
      <c r="G87" s="670"/>
      <c r="H87" s="670"/>
      <c r="I87" s="670"/>
      <c r="J87" s="670"/>
      <c r="K87" s="670"/>
      <c r="L87" s="670"/>
      <c r="M87" s="671"/>
    </row>
    <row r="88" spans="1:946">
      <c r="A88" s="957"/>
      <c r="B88" s="958"/>
      <c r="C88" s="958"/>
      <c r="D88" s="958"/>
      <c r="E88" s="958"/>
      <c r="F88" s="969"/>
      <c r="G88" s="674" t="s">
        <v>314</v>
      </c>
      <c r="H88" s="674" t="s">
        <v>426</v>
      </c>
      <c r="I88" s="674" t="s">
        <v>427</v>
      </c>
      <c r="J88" s="143"/>
      <c r="K88" s="143"/>
      <c r="L88" s="970" t="s">
        <v>188</v>
      </c>
      <c r="M88" s="971"/>
    </row>
    <row r="89" spans="1:946">
      <c r="A89" s="141" t="s">
        <v>22</v>
      </c>
      <c r="B89" s="169" t="s">
        <v>117</v>
      </c>
      <c r="E89" s="134"/>
      <c r="F89" s="168"/>
      <c r="M89" s="132"/>
      <c r="Q89" s="170"/>
    </row>
    <row r="90" spans="1:946">
      <c r="A90" s="141"/>
      <c r="B90" s="169"/>
      <c r="C90" s="93" t="s">
        <v>403</v>
      </c>
      <c r="E90" s="134"/>
      <c r="F90" s="168"/>
      <c r="G90" s="675">
        <v>1</v>
      </c>
      <c r="H90" s="676">
        <v>0</v>
      </c>
      <c r="I90" s="676">
        <v>0</v>
      </c>
      <c r="J90" s="239"/>
      <c r="K90" s="239"/>
      <c r="L90" s="150"/>
      <c r="M90" s="167"/>
    </row>
    <row r="91" spans="1:946">
      <c r="A91" s="141">
        <f>+A81+1</f>
        <v>39</v>
      </c>
      <c r="B91" s="169"/>
      <c r="C91" s="140" t="s">
        <v>126</v>
      </c>
      <c r="E91" s="134"/>
      <c r="F91" s="168"/>
      <c r="G91" s="584">
        <v>0</v>
      </c>
      <c r="H91" s="579">
        <v>0</v>
      </c>
      <c r="I91" s="579">
        <v>0</v>
      </c>
      <c r="J91" s="579"/>
      <c r="K91" s="248"/>
      <c r="M91" s="585">
        <f>(G91*G90+H91*H90+I91*I90+J91*J90)</f>
        <v>0</v>
      </c>
    </row>
    <row r="92" spans="1:946" ht="13.5" thickBot="1">
      <c r="A92" s="138"/>
      <c r="B92" s="147"/>
      <c r="C92" s="130" t="s">
        <v>524</v>
      </c>
      <c r="D92" s="166"/>
      <c r="E92" s="162"/>
      <c r="F92" s="165"/>
      <c r="G92" s="130"/>
      <c r="H92" s="130"/>
      <c r="I92" s="130"/>
      <c r="J92" s="130"/>
      <c r="K92" s="130"/>
      <c r="L92" s="130"/>
      <c r="M92" s="164"/>
      <c r="N92" s="163"/>
      <c r="O92" s="430"/>
    </row>
    <row r="94" spans="1:946" ht="13.5" thickBot="1">
      <c r="A94" s="154" t="s">
        <v>272</v>
      </c>
      <c r="B94" s="223"/>
      <c r="C94" s="223"/>
      <c r="D94" s="223"/>
      <c r="E94" s="223"/>
      <c r="F94" s="223"/>
      <c r="G94" s="223"/>
      <c r="H94" s="223"/>
      <c r="I94" s="223"/>
      <c r="J94" s="223"/>
      <c r="K94" s="223"/>
      <c r="L94" s="223"/>
      <c r="M94" s="223"/>
    </row>
    <row r="95" spans="1:946" ht="13.5" thickBot="1">
      <c r="A95" s="678"/>
      <c r="B95" s="679"/>
      <c r="C95" s="679"/>
      <c r="D95" s="679"/>
      <c r="E95" s="679"/>
      <c r="F95" s="679"/>
      <c r="G95" s="679"/>
      <c r="H95" s="679"/>
      <c r="I95" s="679"/>
      <c r="J95" s="679"/>
      <c r="K95" s="679"/>
      <c r="L95" s="679"/>
      <c r="M95" s="680"/>
    </row>
    <row r="96" spans="1:946" ht="38.25">
      <c r="A96" s="950"/>
      <c r="B96" s="951"/>
      <c r="C96" s="951"/>
      <c r="D96" s="951"/>
      <c r="E96" s="951"/>
      <c r="F96" s="952"/>
      <c r="G96" s="672" t="s">
        <v>116</v>
      </c>
      <c r="H96" s="681" t="s">
        <v>271</v>
      </c>
      <c r="I96" s="681" t="s">
        <v>115</v>
      </c>
      <c r="J96" s="953" t="s">
        <v>109</v>
      </c>
      <c r="K96" s="953"/>
      <c r="L96" s="953"/>
      <c r="M96" s="954"/>
    </row>
    <row r="97" spans="1:13">
      <c r="A97" s="222"/>
      <c r="B97" s="153" t="s">
        <v>114</v>
      </c>
      <c r="C97" s="223"/>
      <c r="D97" s="223"/>
      <c r="E97" s="224"/>
      <c r="F97" s="226"/>
      <c r="G97" s="225"/>
      <c r="H97" s="223"/>
      <c r="I97" s="223"/>
      <c r="J97" s="223"/>
      <c r="K97" s="223"/>
      <c r="L97" s="223"/>
      <c r="M97" s="226"/>
    </row>
    <row r="98" spans="1:13">
      <c r="A98" s="222">
        <f>+A91+1</f>
        <v>40</v>
      </c>
      <c r="B98" s="556"/>
      <c r="C98" s="557" t="s">
        <v>177</v>
      </c>
      <c r="D98" s="223"/>
      <c r="E98" s="558"/>
      <c r="F98" s="93" t="s">
        <v>133</v>
      </c>
      <c r="G98" s="559">
        <v>0</v>
      </c>
      <c r="H98" s="560">
        <v>0</v>
      </c>
      <c r="I98" s="561">
        <f>G98-H98</f>
        <v>0</v>
      </c>
      <c r="J98" s="223"/>
      <c r="K98" s="223"/>
      <c r="L98" s="223"/>
      <c r="M98" s="226"/>
    </row>
    <row r="99" spans="1:13">
      <c r="A99" s="222"/>
      <c r="B99" s="153"/>
      <c r="C99" s="223"/>
      <c r="D99" s="223"/>
      <c r="E99" s="224"/>
      <c r="F99" s="226"/>
      <c r="G99" s="225"/>
      <c r="H99" s="223"/>
      <c r="I99" s="223"/>
      <c r="J99" s="223"/>
      <c r="K99" s="223"/>
      <c r="L99" s="223"/>
      <c r="M99" s="226"/>
    </row>
    <row r="100" spans="1:13">
      <c r="A100" s="222"/>
      <c r="B100" s="153"/>
      <c r="C100" s="961" t="s">
        <v>396</v>
      </c>
      <c r="D100" s="961"/>
      <c r="E100" s="961"/>
      <c r="F100" s="962"/>
      <c r="G100" s="225"/>
      <c r="H100" s="223"/>
      <c r="I100" s="223"/>
      <c r="J100" s="223"/>
      <c r="K100" s="223"/>
      <c r="L100" s="223"/>
      <c r="M100" s="226"/>
    </row>
    <row r="101" spans="1:13">
      <c r="A101" s="222"/>
      <c r="B101" s="153"/>
      <c r="C101" s="961" t="s">
        <v>525</v>
      </c>
      <c r="D101" s="961"/>
      <c r="E101" s="961"/>
      <c r="F101" s="962"/>
      <c r="G101" s="225"/>
      <c r="H101" s="223"/>
      <c r="I101" s="223"/>
      <c r="J101" s="223"/>
      <c r="K101" s="223"/>
      <c r="L101" s="223"/>
      <c r="M101" s="226"/>
    </row>
    <row r="102" spans="1:13">
      <c r="A102" s="222"/>
      <c r="B102" s="153"/>
      <c r="C102" s="961" t="s">
        <v>526</v>
      </c>
      <c r="D102" s="961"/>
      <c r="E102" s="961"/>
      <c r="F102" s="962"/>
      <c r="G102" s="225"/>
      <c r="H102" s="223"/>
      <c r="I102" s="223"/>
      <c r="J102" s="223"/>
      <c r="K102" s="223"/>
      <c r="L102" s="223"/>
      <c r="M102" s="226"/>
    </row>
    <row r="103" spans="1:13">
      <c r="A103" s="222"/>
      <c r="B103" s="153"/>
      <c r="C103" s="961" t="s">
        <v>527</v>
      </c>
      <c r="D103" s="961"/>
      <c r="E103" s="961"/>
      <c r="F103" s="962"/>
      <c r="G103" s="225"/>
      <c r="H103" s="223"/>
      <c r="I103" s="223"/>
      <c r="J103" s="223"/>
      <c r="K103" s="223"/>
      <c r="L103" s="223"/>
      <c r="M103" s="226"/>
    </row>
    <row r="104" spans="1:13" ht="15.75" customHeight="1" thickBot="1">
      <c r="A104" s="138"/>
      <c r="B104" s="130"/>
      <c r="C104" s="963" t="s">
        <v>528</v>
      </c>
      <c r="D104" s="963"/>
      <c r="E104" s="963"/>
      <c r="F104" s="964"/>
      <c r="G104" s="138"/>
      <c r="H104" s="130"/>
      <c r="I104" s="130"/>
      <c r="J104" s="955"/>
      <c r="K104" s="955"/>
      <c r="L104" s="955"/>
      <c r="M104" s="956"/>
    </row>
    <row r="106" spans="1:13" ht="13.5" thickBot="1">
      <c r="A106" s="154" t="s">
        <v>113</v>
      </c>
    </row>
    <row r="107" spans="1:13" ht="13.5" thickBot="1">
      <c r="A107" s="677"/>
      <c r="B107" s="670"/>
      <c r="C107" s="670"/>
      <c r="D107" s="670"/>
      <c r="E107" s="670"/>
      <c r="F107" s="670"/>
      <c r="G107" s="670"/>
      <c r="H107" s="670"/>
      <c r="I107" s="670"/>
      <c r="J107" s="670"/>
      <c r="K107" s="670"/>
      <c r="L107" s="670"/>
      <c r="M107" s="671"/>
    </row>
    <row r="108" spans="1:13" ht="66.75" customHeight="1">
      <c r="A108" s="957"/>
      <c r="B108" s="958"/>
      <c r="C108" s="958"/>
      <c r="D108" s="958"/>
      <c r="E108" s="958"/>
      <c r="F108" s="958"/>
      <c r="G108" s="672" t="str">
        <f>+C110</f>
        <v>Excluded Transmission Facilities</v>
      </c>
      <c r="H108" s="648" t="s">
        <v>405</v>
      </c>
      <c r="I108" s="953" t="s">
        <v>112</v>
      </c>
      <c r="J108" s="953"/>
      <c r="K108" s="953"/>
      <c r="L108" s="953"/>
      <c r="M108" s="954"/>
    </row>
    <row r="109" spans="1:13">
      <c r="A109" s="114"/>
      <c r="B109" s="154" t="s">
        <v>111</v>
      </c>
      <c r="C109" s="153"/>
      <c r="D109" s="153"/>
      <c r="E109" s="161"/>
      <c r="F109" s="160"/>
      <c r="G109" s="159"/>
      <c r="M109" s="132"/>
    </row>
    <row r="110" spans="1:13" ht="27.75" customHeight="1">
      <c r="A110" s="141">
        <f>+A98+1</f>
        <v>41</v>
      </c>
      <c r="B110" s="119"/>
      <c r="C110" s="140" t="s">
        <v>178</v>
      </c>
      <c r="D110" s="153"/>
      <c r="E110" s="157"/>
      <c r="F110" s="140"/>
      <c r="G110" s="682">
        <f>-'2 - Cost Support'!F21+'9 - Workpaper'!P42</f>
        <v>0</v>
      </c>
      <c r="H110" s="565">
        <v>0</v>
      </c>
      <c r="I110" s="959" t="s">
        <v>581</v>
      </c>
      <c r="J110" s="959"/>
      <c r="K110" s="959"/>
      <c r="L110" s="959"/>
      <c r="M110" s="960"/>
    </row>
    <row r="111" spans="1:13">
      <c r="A111" s="141"/>
      <c r="B111" s="119"/>
      <c r="D111" s="153"/>
      <c r="E111" s="152"/>
      <c r="F111" s="151"/>
      <c r="G111" s="159"/>
      <c r="M111" s="132"/>
    </row>
    <row r="112" spans="1:13" ht="13.5" thickBot="1">
      <c r="A112" s="131"/>
      <c r="B112" s="130"/>
      <c r="C112" s="130"/>
      <c r="D112" s="130"/>
      <c r="E112" s="130"/>
      <c r="F112" s="130"/>
      <c r="G112" s="138"/>
      <c r="H112" s="130"/>
      <c r="I112" s="130"/>
      <c r="J112" s="130"/>
      <c r="K112" s="158"/>
      <c r="L112" s="130"/>
      <c r="M112" s="129"/>
    </row>
    <row r="113" spans="1:15">
      <c r="K113" s="156"/>
    </row>
    <row r="114" spans="1:15">
      <c r="B114" s="119"/>
      <c r="C114" s="119"/>
      <c r="D114" s="119"/>
      <c r="E114" s="157"/>
      <c r="F114" s="119"/>
      <c r="K114" s="156"/>
    </row>
    <row r="115" spans="1:15" ht="13.5" thickBot="1">
      <c r="A115" s="154" t="s">
        <v>130</v>
      </c>
    </row>
    <row r="116" spans="1:15" ht="13.5" thickBot="1">
      <c r="A116" s="685"/>
      <c r="B116" s="666"/>
      <c r="C116" s="666"/>
      <c r="D116" s="670"/>
      <c r="E116" s="670"/>
      <c r="F116" s="670"/>
      <c r="G116" s="667"/>
      <c r="H116" s="667"/>
      <c r="I116" s="667"/>
      <c r="J116" s="667"/>
      <c r="K116" s="667"/>
      <c r="L116" s="667"/>
      <c r="M116" s="687"/>
      <c r="N116" s="686"/>
    </row>
    <row r="117" spans="1:15">
      <c r="A117" s="688"/>
      <c r="B117" s="177"/>
      <c r="C117" s="689"/>
      <c r="D117" s="690"/>
      <c r="E117" s="216"/>
      <c r="F117" s="216"/>
      <c r="G117" s="691"/>
      <c r="H117" s="177"/>
      <c r="I117" s="692"/>
      <c r="J117" s="216"/>
      <c r="K117" s="693"/>
      <c r="L117" s="216"/>
      <c r="M117" s="216"/>
      <c r="N117" s="217"/>
    </row>
    <row r="118" spans="1:15" ht="47.25">
      <c r="A118" s="141"/>
      <c r="C118" s="128"/>
      <c r="F118" s="694" t="s">
        <v>128</v>
      </c>
      <c r="G118" s="695" t="s">
        <v>296</v>
      </c>
      <c r="H118" s="635" t="s">
        <v>35</v>
      </c>
      <c r="I118" s="696" t="s">
        <v>530</v>
      </c>
      <c r="J118" s="695" t="s">
        <v>531</v>
      </c>
      <c r="K118" s="694" t="s">
        <v>179</v>
      </c>
      <c r="L118" s="695" t="s">
        <v>532</v>
      </c>
      <c r="M118" s="695" t="s">
        <v>531</v>
      </c>
      <c r="N118" s="697" t="s">
        <v>35</v>
      </c>
    </row>
    <row r="119" spans="1:15" ht="17.25" customHeight="1">
      <c r="A119" s="141"/>
      <c r="B119" s="119"/>
      <c r="C119" s="93" t="s">
        <v>300</v>
      </c>
      <c r="E119" s="119" t="s">
        <v>125</v>
      </c>
      <c r="F119" s="349" t="s">
        <v>297</v>
      </c>
      <c r="G119" s="349" t="s">
        <v>299</v>
      </c>
      <c r="I119" s="149"/>
      <c r="K119" s="349" t="s">
        <v>298</v>
      </c>
      <c r="L119" s="140"/>
      <c r="N119" s="148"/>
      <c r="O119" s="430"/>
    </row>
    <row r="120" spans="1:15" ht="17.25" customHeight="1">
      <c r="A120" s="141">
        <f>+A110+1</f>
        <v>42</v>
      </c>
      <c r="B120" s="119"/>
      <c r="C120" s="542" t="s">
        <v>123</v>
      </c>
      <c r="D120" s="93" t="s">
        <v>400</v>
      </c>
      <c r="E120" s="888">
        <f>+D50</f>
        <v>2018</v>
      </c>
      <c r="F120" s="414">
        <v>0</v>
      </c>
      <c r="G120" s="415">
        <v>0</v>
      </c>
      <c r="H120" s="115">
        <f>+F120+G120</f>
        <v>0</v>
      </c>
      <c r="I120" s="149"/>
      <c r="K120" s="415">
        <v>0</v>
      </c>
      <c r="L120" s="140"/>
      <c r="N120" s="148"/>
    </row>
    <row r="121" spans="1:15" ht="17.25" customHeight="1">
      <c r="A121" s="141">
        <f>+A120+1</f>
        <v>43</v>
      </c>
      <c r="B121" s="119"/>
      <c r="C121" s="542" t="s">
        <v>139</v>
      </c>
      <c r="D121" s="93" t="s">
        <v>400</v>
      </c>
      <c r="E121" s="888">
        <f>+$E$120</f>
        <v>2018</v>
      </c>
      <c r="F121" s="354">
        <v>0</v>
      </c>
      <c r="G121" s="411">
        <v>0</v>
      </c>
      <c r="H121" s="115">
        <f t="shared" ref="H121:H132" si="9">+F121+G121</f>
        <v>0</v>
      </c>
      <c r="I121" s="149"/>
      <c r="K121" s="411">
        <v>0</v>
      </c>
      <c r="L121" s="140"/>
      <c r="N121" s="148"/>
    </row>
    <row r="122" spans="1:15" ht="17.25" customHeight="1">
      <c r="A122" s="141">
        <f t="shared" ref="A122:A132" si="10">+A121+1</f>
        <v>44</v>
      </c>
      <c r="B122" s="119"/>
      <c r="C122" s="542" t="s">
        <v>138</v>
      </c>
      <c r="D122" s="93" t="s">
        <v>400</v>
      </c>
      <c r="E122" s="888">
        <f t="shared" ref="E122:E127" si="11">+$E$120</f>
        <v>2018</v>
      </c>
      <c r="F122" s="354">
        <v>0</v>
      </c>
      <c r="G122" s="411">
        <v>0</v>
      </c>
      <c r="H122" s="115">
        <f t="shared" si="9"/>
        <v>0</v>
      </c>
      <c r="I122" s="149"/>
      <c r="K122" s="411">
        <v>0</v>
      </c>
      <c r="L122" s="140"/>
      <c r="N122" s="148"/>
    </row>
    <row r="123" spans="1:15" ht="17.25" customHeight="1">
      <c r="A123" s="141">
        <f t="shared" si="10"/>
        <v>45</v>
      </c>
      <c r="B123" s="119"/>
      <c r="C123" s="542" t="s">
        <v>137</v>
      </c>
      <c r="D123" s="93" t="s">
        <v>400</v>
      </c>
      <c r="E123" s="888">
        <f t="shared" si="11"/>
        <v>2018</v>
      </c>
      <c r="F123" s="354">
        <v>0</v>
      </c>
      <c r="G123" s="411">
        <v>0</v>
      </c>
      <c r="H123" s="115">
        <f t="shared" si="9"/>
        <v>0</v>
      </c>
      <c r="I123" s="149"/>
      <c r="K123" s="411">
        <v>0</v>
      </c>
      <c r="L123" s="140"/>
      <c r="N123" s="148"/>
    </row>
    <row r="124" spans="1:15" ht="17.25" customHeight="1">
      <c r="A124" s="141">
        <f t="shared" si="10"/>
        <v>46</v>
      </c>
      <c r="B124" s="119"/>
      <c r="C124" s="542" t="s">
        <v>136</v>
      </c>
      <c r="D124" s="93" t="s">
        <v>400</v>
      </c>
      <c r="E124" s="888">
        <f t="shared" si="11"/>
        <v>2018</v>
      </c>
      <c r="F124" s="354">
        <v>0</v>
      </c>
      <c r="G124" s="411">
        <v>0</v>
      </c>
      <c r="H124" s="115">
        <f t="shared" si="9"/>
        <v>0</v>
      </c>
      <c r="I124" s="149"/>
      <c r="K124" s="411">
        <v>0</v>
      </c>
      <c r="L124" s="140"/>
      <c r="N124" s="148"/>
    </row>
    <row r="125" spans="1:15" ht="17.25" customHeight="1">
      <c r="A125" s="141">
        <f t="shared" si="10"/>
        <v>47</v>
      </c>
      <c r="B125" s="119"/>
      <c r="C125" s="542" t="s">
        <v>135</v>
      </c>
      <c r="D125" s="93" t="s">
        <v>400</v>
      </c>
      <c r="E125" s="888">
        <f t="shared" si="11"/>
        <v>2018</v>
      </c>
      <c r="F125" s="354">
        <v>0</v>
      </c>
      <c r="G125" s="411">
        <v>0</v>
      </c>
      <c r="H125" s="115">
        <f t="shared" si="9"/>
        <v>0</v>
      </c>
      <c r="I125" s="149"/>
      <c r="K125" s="411">
        <v>0</v>
      </c>
      <c r="L125" s="140"/>
      <c r="N125" s="148"/>
    </row>
    <row r="126" spans="1:15" ht="17.25" customHeight="1">
      <c r="A126" s="141">
        <f t="shared" si="10"/>
        <v>48</v>
      </c>
      <c r="B126" s="119"/>
      <c r="C126" s="542" t="s">
        <v>134</v>
      </c>
      <c r="D126" s="93" t="s">
        <v>400</v>
      </c>
      <c r="E126" s="888">
        <f t="shared" si="11"/>
        <v>2018</v>
      </c>
      <c r="F126" s="354">
        <v>0</v>
      </c>
      <c r="G126" s="411">
        <v>0</v>
      </c>
      <c r="H126" s="115">
        <f t="shared" si="9"/>
        <v>0</v>
      </c>
      <c r="I126" s="149"/>
      <c r="K126" s="411">
        <v>0</v>
      </c>
      <c r="L126" s="140"/>
      <c r="N126" s="148"/>
    </row>
    <row r="127" spans="1:15" ht="17.25" customHeight="1">
      <c r="A127" s="141">
        <f t="shared" si="10"/>
        <v>49</v>
      </c>
      <c r="B127" s="119"/>
      <c r="C127" s="542" t="s">
        <v>132</v>
      </c>
      <c r="D127" s="93" t="s">
        <v>529</v>
      </c>
      <c r="E127" s="888">
        <f t="shared" si="11"/>
        <v>2018</v>
      </c>
      <c r="F127" s="354">
        <v>0</v>
      </c>
      <c r="G127" s="411">
        <v>0</v>
      </c>
      <c r="H127" s="115">
        <f t="shared" si="9"/>
        <v>0</v>
      </c>
      <c r="I127" s="149"/>
      <c r="K127" s="411">
        <v>0</v>
      </c>
      <c r="L127" s="140"/>
      <c r="N127" s="148"/>
    </row>
    <row r="128" spans="1:15" ht="17.25" customHeight="1">
      <c r="A128" s="141">
        <f t="shared" si="10"/>
        <v>50</v>
      </c>
      <c r="B128" s="119"/>
      <c r="C128" s="542" t="s">
        <v>142</v>
      </c>
      <c r="D128" s="93" t="s">
        <v>400</v>
      </c>
      <c r="E128" s="646">
        <f>+E127+1</f>
        <v>2019</v>
      </c>
      <c r="F128" s="354">
        <v>0</v>
      </c>
      <c r="G128" s="411">
        <v>0</v>
      </c>
      <c r="H128" s="115">
        <f t="shared" si="9"/>
        <v>0</v>
      </c>
      <c r="I128" s="149"/>
      <c r="K128" s="411">
        <v>0</v>
      </c>
      <c r="L128" s="140"/>
      <c r="N128" s="148"/>
    </row>
    <row r="129" spans="1:14" ht="17.25" customHeight="1">
      <c r="A129" s="141">
        <f t="shared" si="10"/>
        <v>51</v>
      </c>
      <c r="B129" s="119"/>
      <c r="C129" s="542" t="s">
        <v>141</v>
      </c>
      <c r="D129" s="93" t="s">
        <v>400</v>
      </c>
      <c r="E129" s="646">
        <f>+$E$128</f>
        <v>2019</v>
      </c>
      <c r="F129" s="354">
        <v>0</v>
      </c>
      <c r="G129" s="411">
        <v>0</v>
      </c>
      <c r="H129" s="115">
        <f t="shared" si="9"/>
        <v>0</v>
      </c>
      <c r="I129" s="149"/>
      <c r="K129" s="411">
        <v>0</v>
      </c>
      <c r="L129" s="140"/>
      <c r="N129" s="148"/>
    </row>
    <row r="130" spans="1:14" ht="15.75">
      <c r="A130" s="141">
        <f t="shared" si="10"/>
        <v>52</v>
      </c>
      <c r="B130" s="119"/>
      <c r="C130" s="542" t="s">
        <v>140</v>
      </c>
      <c r="D130" s="93" t="s">
        <v>400</v>
      </c>
      <c r="E130" s="646">
        <f t="shared" ref="E130:E132" si="12">+$E$128</f>
        <v>2019</v>
      </c>
      <c r="F130" s="354">
        <v>0</v>
      </c>
      <c r="G130" s="411">
        <v>0</v>
      </c>
      <c r="H130" s="115">
        <f t="shared" si="9"/>
        <v>0</v>
      </c>
      <c r="I130" s="149"/>
      <c r="K130" s="411">
        <v>0</v>
      </c>
      <c r="L130" s="140"/>
      <c r="N130" s="148"/>
    </row>
    <row r="131" spans="1:14" ht="17.25" customHeight="1">
      <c r="A131" s="141">
        <f t="shared" si="10"/>
        <v>53</v>
      </c>
      <c r="B131" s="119"/>
      <c r="C131" s="542" t="s">
        <v>124</v>
      </c>
      <c r="D131" s="93" t="s">
        <v>400</v>
      </c>
      <c r="E131" s="646">
        <f t="shared" si="12"/>
        <v>2019</v>
      </c>
      <c r="F131" s="354">
        <v>0</v>
      </c>
      <c r="G131" s="411">
        <v>0</v>
      </c>
      <c r="H131" s="115">
        <f t="shared" si="9"/>
        <v>0</v>
      </c>
      <c r="I131" s="149"/>
      <c r="K131" s="411">
        <v>0</v>
      </c>
      <c r="L131" s="140"/>
      <c r="N131" s="148"/>
    </row>
    <row r="132" spans="1:14" ht="17.25" customHeight="1">
      <c r="A132" s="141">
        <f t="shared" si="10"/>
        <v>54</v>
      </c>
      <c r="B132" s="119"/>
      <c r="C132" s="542" t="s">
        <v>123</v>
      </c>
      <c r="D132" s="93" t="s">
        <v>400</v>
      </c>
      <c r="E132" s="646">
        <f t="shared" si="12"/>
        <v>2019</v>
      </c>
      <c r="F132" s="354">
        <v>0</v>
      </c>
      <c r="G132" s="411">
        <v>0</v>
      </c>
      <c r="H132" s="115">
        <f t="shared" si="9"/>
        <v>0</v>
      </c>
      <c r="I132" s="149"/>
      <c r="K132" s="411">
        <v>0</v>
      </c>
      <c r="N132" s="148"/>
    </row>
    <row r="133" spans="1:14" ht="16.5" thickBot="1">
      <c r="A133" s="131">
        <f>+A132+1</f>
        <v>55</v>
      </c>
      <c r="B133" s="147"/>
      <c r="C133" s="155" t="s">
        <v>172</v>
      </c>
      <c r="D133" s="130"/>
      <c r="E133" s="130"/>
      <c r="F133" s="155"/>
      <c r="G133" s="155"/>
      <c r="H133" s="684">
        <f>+AVERAGE(H120:H132)</f>
        <v>0</v>
      </c>
      <c r="I133" s="416">
        <f>+'Appendix A'!H82</f>
        <v>0</v>
      </c>
      <c r="J133" s="408">
        <f>+H133*I133</f>
        <v>0</v>
      </c>
      <c r="K133" s="408">
        <f>+AVERAGE(K120:K132)</f>
        <v>0</v>
      </c>
      <c r="L133" s="698">
        <f>+'Appendix A'!J208</f>
        <v>1</v>
      </c>
      <c r="M133" s="700">
        <f>+K133*L133</f>
        <v>0</v>
      </c>
      <c r="N133" s="699">
        <f>+J133+M133</f>
        <v>0</v>
      </c>
    </row>
    <row r="135" spans="1:14" ht="15.75">
      <c r="B135" s="119"/>
      <c r="C135" s="125"/>
      <c r="D135" s="116"/>
      <c r="E135" s="116"/>
      <c r="F135" s="116"/>
      <c r="G135" s="146"/>
      <c r="H135" s="144"/>
      <c r="I135" s="145"/>
      <c r="J135" s="144"/>
      <c r="K135" s="144"/>
      <c r="L135" s="133"/>
      <c r="M135" s="133"/>
    </row>
    <row r="136" spans="1:14" ht="15.75">
      <c r="A136" s="349"/>
      <c r="B136" s="116"/>
      <c r="C136" s="116"/>
      <c r="D136" s="116"/>
      <c r="E136" s="116"/>
      <c r="F136" s="116"/>
      <c r="G136" s="116"/>
      <c r="H136" s="116"/>
      <c r="I136" s="116"/>
      <c r="J136" s="116"/>
      <c r="K136" s="116"/>
      <c r="L136" s="116"/>
      <c r="M136" s="116"/>
    </row>
    <row r="137" spans="1:14" ht="15.75">
      <c r="A137" s="116"/>
      <c r="B137" s="116"/>
      <c r="C137" s="116"/>
      <c r="D137" s="116"/>
      <c r="E137" s="116"/>
      <c r="F137" s="116"/>
      <c r="G137" s="116"/>
      <c r="H137" s="116"/>
      <c r="I137" s="116"/>
      <c r="J137" s="116"/>
      <c r="K137" s="116"/>
      <c r="L137" s="116"/>
      <c r="M137" s="116"/>
      <c r="N137" s="116"/>
    </row>
    <row r="138" spans="1:14" ht="15.75">
      <c r="A138" s="116"/>
      <c r="B138" s="116"/>
      <c r="C138" s="116"/>
      <c r="D138" s="116"/>
      <c r="E138" s="116"/>
      <c r="F138" s="116"/>
      <c r="G138" s="116"/>
      <c r="H138" s="116"/>
      <c r="I138" s="116"/>
      <c r="J138" s="116"/>
      <c r="K138" s="116"/>
      <c r="L138" s="116"/>
      <c r="M138" s="116"/>
      <c r="N138" s="116"/>
    </row>
    <row r="139" spans="1:14" ht="15.75">
      <c r="A139" s="116"/>
      <c r="B139" s="116"/>
      <c r="C139" s="116"/>
      <c r="D139" s="116"/>
      <c r="E139" s="116"/>
      <c r="F139" s="116"/>
      <c r="G139" s="116"/>
      <c r="H139" s="116"/>
      <c r="I139" s="116"/>
      <c r="J139" s="116"/>
      <c r="K139" s="116"/>
      <c r="L139" s="116"/>
      <c r="M139" s="116"/>
      <c r="N139" s="116"/>
    </row>
    <row r="140" spans="1:14" ht="15.75">
      <c r="A140" s="116"/>
      <c r="B140" s="116"/>
      <c r="C140" s="116"/>
      <c r="D140" s="116"/>
      <c r="E140" s="116"/>
      <c r="F140" s="116"/>
      <c r="G140" s="116"/>
      <c r="H140" s="116"/>
      <c r="I140" s="116"/>
      <c r="J140" s="116"/>
      <c r="K140" s="116"/>
      <c r="L140" s="116"/>
      <c r="M140" s="116"/>
      <c r="N140" s="116"/>
    </row>
    <row r="141" spans="1:14" ht="15.75">
      <c r="A141" s="116"/>
      <c r="B141" s="116"/>
      <c r="C141" s="116"/>
      <c r="D141" s="116"/>
      <c r="E141" s="116"/>
      <c r="F141" s="116"/>
      <c r="G141" s="116"/>
      <c r="H141" s="116"/>
      <c r="I141" s="116"/>
      <c r="J141" s="116"/>
      <c r="K141" s="116"/>
      <c r="L141" s="116"/>
      <c r="M141" s="116"/>
      <c r="N141" s="116"/>
    </row>
    <row r="142" spans="1:14" ht="15.75">
      <c r="A142" s="116"/>
      <c r="B142" s="116"/>
      <c r="C142" s="116"/>
      <c r="D142" s="116"/>
      <c r="E142" s="116"/>
      <c r="F142" s="116"/>
      <c r="G142" s="116"/>
      <c r="H142" s="116"/>
      <c r="I142" s="116"/>
      <c r="J142" s="116"/>
      <c r="K142" s="116"/>
      <c r="L142" s="116"/>
      <c r="M142" s="116"/>
      <c r="N142" s="116"/>
    </row>
    <row r="143" spans="1:14" ht="15.75">
      <c r="A143" s="116"/>
      <c r="B143" s="116"/>
      <c r="C143" s="116"/>
      <c r="D143" s="116"/>
      <c r="E143" s="116"/>
      <c r="F143" s="116"/>
      <c r="G143" s="116"/>
      <c r="H143" s="116"/>
      <c r="I143" s="116"/>
      <c r="J143" s="116"/>
      <c r="K143" s="116"/>
      <c r="L143" s="116"/>
      <c r="M143" s="116"/>
      <c r="N143" s="116"/>
    </row>
    <row r="144" spans="1:14" ht="15.75">
      <c r="A144" s="116"/>
      <c r="B144" s="116"/>
      <c r="C144" s="116"/>
      <c r="D144" s="116"/>
      <c r="E144" s="116"/>
      <c r="F144" s="116"/>
      <c r="G144" s="116"/>
      <c r="H144" s="116"/>
      <c r="I144" s="116"/>
      <c r="J144" s="116"/>
      <c r="K144" s="116"/>
      <c r="L144" s="116"/>
      <c r="M144" s="116"/>
      <c r="N144" s="116"/>
    </row>
    <row r="145" spans="1:14" ht="15.75">
      <c r="A145" s="116"/>
      <c r="B145" s="116"/>
      <c r="C145" s="116"/>
      <c r="D145" s="116"/>
      <c r="E145" s="116"/>
      <c r="F145" s="116"/>
      <c r="G145" s="116"/>
      <c r="H145" s="116"/>
      <c r="I145" s="116"/>
      <c r="J145" s="116"/>
      <c r="K145" s="116"/>
      <c r="L145" s="116"/>
      <c r="M145" s="116"/>
      <c r="N145" s="116"/>
    </row>
    <row r="146" spans="1:14" ht="15.75">
      <c r="A146" s="116"/>
      <c r="B146" s="116"/>
      <c r="C146" s="116"/>
      <c r="D146" s="116"/>
      <c r="E146" s="116"/>
      <c r="F146" s="116"/>
      <c r="G146" s="116"/>
      <c r="H146" s="116"/>
      <c r="I146" s="116"/>
      <c r="J146" s="116"/>
      <c r="K146" s="116"/>
      <c r="L146" s="116"/>
      <c r="M146" s="116"/>
      <c r="N146" s="116"/>
    </row>
    <row r="147" spans="1:14" ht="15.75">
      <c r="A147" s="116"/>
      <c r="B147" s="116"/>
      <c r="C147" s="116"/>
      <c r="D147" s="116"/>
      <c r="E147" s="116"/>
      <c r="F147" s="116"/>
      <c r="G147" s="116"/>
      <c r="H147" s="116"/>
      <c r="I147" s="116"/>
      <c r="J147" s="116"/>
      <c r="K147" s="116"/>
      <c r="L147" s="116"/>
      <c r="M147" s="116"/>
      <c r="N147" s="116"/>
    </row>
    <row r="148" spans="1:14" ht="15.75">
      <c r="A148" s="116"/>
      <c r="B148" s="116"/>
      <c r="C148" s="116"/>
      <c r="D148" s="116"/>
      <c r="E148" s="116"/>
      <c r="F148" s="116"/>
      <c r="G148" s="116"/>
      <c r="H148" s="116"/>
      <c r="I148" s="116"/>
      <c r="J148" s="116"/>
      <c r="K148" s="116"/>
      <c r="L148" s="116"/>
      <c r="M148" s="116"/>
      <c r="N148" s="116"/>
    </row>
    <row r="149" spans="1:14" ht="15.75">
      <c r="A149" s="116"/>
      <c r="B149" s="116"/>
      <c r="C149" s="116"/>
      <c r="D149" s="116"/>
      <c r="E149" s="116"/>
      <c r="F149" s="116"/>
      <c r="G149" s="116"/>
      <c r="H149" s="116"/>
      <c r="I149" s="116"/>
      <c r="J149" s="116"/>
      <c r="K149" s="116"/>
      <c r="L149" s="116"/>
      <c r="M149" s="116"/>
      <c r="N149" s="116"/>
    </row>
    <row r="150" spans="1:14" ht="15.75">
      <c r="A150" s="116"/>
      <c r="B150" s="116"/>
      <c r="C150" s="116"/>
      <c r="D150" s="116"/>
      <c r="E150" s="116"/>
      <c r="F150" s="116"/>
      <c r="G150" s="116"/>
      <c r="H150" s="116"/>
      <c r="I150" s="116"/>
      <c r="J150" s="116"/>
      <c r="K150" s="116"/>
      <c r="L150" s="116"/>
      <c r="M150" s="116"/>
      <c r="N150" s="116"/>
    </row>
    <row r="151" spans="1:14" ht="15.75">
      <c r="A151" s="116"/>
      <c r="B151" s="116"/>
      <c r="C151" s="116"/>
      <c r="D151" s="116"/>
      <c r="E151" s="116"/>
      <c r="F151" s="116"/>
      <c r="G151" s="116"/>
      <c r="H151" s="116"/>
      <c r="I151" s="116"/>
      <c r="J151" s="116"/>
      <c r="K151" s="116"/>
      <c r="L151" s="116"/>
      <c r="M151" s="116"/>
      <c r="N151" s="116"/>
    </row>
    <row r="152" spans="1:14" ht="15.75">
      <c r="A152" s="116"/>
      <c r="B152" s="116"/>
      <c r="C152" s="116"/>
      <c r="D152" s="116"/>
      <c r="E152" s="116"/>
      <c r="F152" s="116"/>
      <c r="G152" s="116"/>
      <c r="H152" s="116"/>
      <c r="I152" s="116"/>
      <c r="J152" s="116"/>
      <c r="K152" s="116"/>
      <c r="L152" s="116"/>
      <c r="M152" s="116"/>
      <c r="N152" s="116"/>
    </row>
    <row r="153" spans="1:14" ht="15.75">
      <c r="A153" s="116"/>
      <c r="B153" s="116"/>
      <c r="C153" s="116"/>
      <c r="D153" s="116"/>
      <c r="E153" s="116"/>
      <c r="F153" s="116"/>
      <c r="G153" s="116"/>
      <c r="H153" s="116"/>
      <c r="I153" s="116"/>
      <c r="J153" s="116"/>
      <c r="K153" s="116"/>
      <c r="L153" s="116"/>
      <c r="M153" s="116"/>
      <c r="N153" s="116"/>
    </row>
    <row r="154" spans="1:14" ht="15.75">
      <c r="A154" s="116"/>
      <c r="B154" s="116"/>
      <c r="C154" s="116"/>
      <c r="D154" s="116"/>
      <c r="E154" s="116"/>
      <c r="F154" s="116"/>
      <c r="G154" s="116"/>
      <c r="H154" s="116"/>
      <c r="I154" s="116"/>
      <c r="J154" s="116"/>
      <c r="K154" s="116"/>
      <c r="L154" s="116"/>
      <c r="M154" s="116"/>
      <c r="N154" s="116"/>
    </row>
    <row r="155" spans="1:14" ht="15.75">
      <c r="A155" s="116"/>
      <c r="B155" s="116"/>
      <c r="C155" s="116"/>
      <c r="D155" s="116"/>
      <c r="E155" s="116"/>
      <c r="F155" s="116"/>
      <c r="G155" s="116"/>
      <c r="H155" s="116"/>
      <c r="I155" s="116"/>
      <c r="J155" s="116"/>
      <c r="K155" s="116"/>
      <c r="L155" s="116"/>
      <c r="M155" s="116"/>
      <c r="N155" s="116"/>
    </row>
    <row r="156" spans="1:14" ht="15.75">
      <c r="A156" s="349"/>
      <c r="B156" s="116"/>
      <c r="C156" s="116"/>
      <c r="D156" s="116"/>
      <c r="E156" s="116"/>
      <c r="F156" s="116"/>
      <c r="G156" s="116"/>
      <c r="H156" s="116"/>
      <c r="I156" s="116"/>
      <c r="J156" s="116"/>
      <c r="K156" s="116"/>
      <c r="L156" s="116"/>
      <c r="M156" s="116"/>
      <c r="N156" s="116"/>
    </row>
    <row r="157" spans="1:14" ht="15.75">
      <c r="A157" s="349"/>
      <c r="B157" s="116"/>
      <c r="C157" s="116"/>
      <c r="D157" s="116"/>
      <c r="E157" s="116"/>
      <c r="F157" s="116"/>
      <c r="G157" s="116"/>
      <c r="H157" s="116"/>
      <c r="I157" s="116"/>
      <c r="J157" s="116"/>
      <c r="K157" s="116"/>
      <c r="L157" s="116"/>
      <c r="M157" s="116"/>
      <c r="N157" s="116"/>
    </row>
    <row r="158" spans="1:14" ht="15.75">
      <c r="A158" s="349"/>
      <c r="B158" s="116"/>
      <c r="C158" s="116"/>
      <c r="D158" s="116"/>
      <c r="E158" s="116"/>
      <c r="F158" s="116"/>
      <c r="G158" s="116"/>
      <c r="H158" s="116"/>
      <c r="I158" s="116"/>
      <c r="J158" s="116"/>
      <c r="K158" s="116"/>
      <c r="L158" s="116"/>
      <c r="M158" s="116"/>
      <c r="N158" s="116"/>
    </row>
    <row r="159" spans="1:14" ht="15.75">
      <c r="A159" s="349"/>
      <c r="B159" s="116"/>
      <c r="C159" s="116"/>
      <c r="D159" s="116"/>
      <c r="E159" s="116"/>
      <c r="F159" s="116"/>
      <c r="G159" s="116"/>
      <c r="H159" s="116"/>
      <c r="I159" s="116"/>
      <c r="J159" s="116"/>
      <c r="K159" s="116"/>
      <c r="L159" s="116"/>
      <c r="M159" s="116"/>
      <c r="N159" s="116"/>
    </row>
    <row r="160" spans="1:14" ht="15.75">
      <c r="A160" s="349"/>
      <c r="B160" s="116"/>
      <c r="C160" s="116"/>
      <c r="D160" s="116"/>
      <c r="E160" s="116"/>
      <c r="F160" s="116"/>
      <c r="G160" s="116"/>
      <c r="H160" s="116"/>
      <c r="I160" s="116"/>
      <c r="J160" s="116"/>
      <c r="K160" s="116"/>
      <c r="L160" s="116"/>
      <c r="M160" s="116"/>
      <c r="N160" s="116"/>
    </row>
    <row r="161" spans="1:14" ht="15.75">
      <c r="A161" s="349"/>
      <c r="B161" s="116"/>
      <c r="C161" s="116"/>
      <c r="D161" s="116"/>
      <c r="E161" s="116"/>
      <c r="F161" s="116"/>
      <c r="G161" s="116"/>
      <c r="H161" s="116"/>
      <c r="I161" s="116"/>
      <c r="J161" s="116"/>
      <c r="K161" s="116"/>
      <c r="L161" s="116"/>
      <c r="M161" s="116"/>
      <c r="N161" s="116"/>
    </row>
    <row r="162" spans="1:14" ht="15.75">
      <c r="A162" s="349"/>
      <c r="B162" s="116"/>
      <c r="C162" s="116"/>
      <c r="D162" s="116"/>
      <c r="E162" s="116"/>
      <c r="F162" s="116"/>
      <c r="G162" s="116"/>
      <c r="H162" s="116"/>
      <c r="I162" s="116"/>
      <c r="J162" s="116"/>
      <c r="K162" s="116"/>
      <c r="L162" s="116"/>
      <c r="M162" s="116"/>
      <c r="N162" s="116"/>
    </row>
    <row r="163" spans="1:14" ht="15.75">
      <c r="A163" s="349"/>
      <c r="B163" s="116"/>
      <c r="C163" s="116"/>
      <c r="D163" s="116"/>
      <c r="E163" s="116"/>
      <c r="F163" s="116"/>
      <c r="G163" s="116"/>
      <c r="H163" s="116"/>
      <c r="I163" s="116"/>
      <c r="J163" s="116"/>
      <c r="K163" s="116"/>
      <c r="L163" s="116"/>
      <c r="M163" s="116"/>
      <c r="N163" s="116"/>
    </row>
    <row r="164" spans="1:14" ht="15.75">
      <c r="A164" s="349"/>
      <c r="B164" s="116"/>
      <c r="C164" s="116"/>
      <c r="D164" s="116"/>
      <c r="E164" s="116"/>
      <c r="F164" s="116"/>
      <c r="G164" s="116"/>
      <c r="H164" s="116"/>
      <c r="I164" s="116"/>
      <c r="J164" s="116"/>
      <c r="K164" s="116"/>
      <c r="L164" s="116"/>
      <c r="M164" s="116"/>
      <c r="N164" s="116"/>
    </row>
    <row r="165" spans="1:14" ht="15.75">
      <c r="A165" s="349"/>
      <c r="B165" s="116"/>
      <c r="C165" s="116"/>
      <c r="D165" s="116"/>
      <c r="E165" s="116"/>
      <c r="F165" s="116"/>
      <c r="G165" s="116"/>
      <c r="H165" s="116"/>
      <c r="I165" s="116"/>
      <c r="J165" s="116"/>
      <c r="K165" s="116"/>
      <c r="L165" s="116"/>
      <c r="M165" s="116"/>
      <c r="N165" s="116"/>
    </row>
    <row r="166" spans="1:14" ht="15.75">
      <c r="A166" s="349"/>
      <c r="B166" s="116"/>
      <c r="C166" s="116"/>
      <c r="D166" s="116"/>
      <c r="E166" s="116"/>
      <c r="F166" s="116"/>
      <c r="G166" s="116"/>
      <c r="H166" s="116"/>
      <c r="I166" s="116"/>
      <c r="J166" s="116"/>
      <c r="K166" s="116"/>
      <c r="L166" s="116"/>
      <c r="M166" s="116"/>
      <c r="N166" s="116"/>
    </row>
    <row r="167" spans="1:14" ht="15.75">
      <c r="A167" s="349"/>
      <c r="B167" s="116"/>
      <c r="C167" s="116"/>
      <c r="D167" s="116"/>
      <c r="E167" s="116"/>
      <c r="F167" s="116"/>
      <c r="G167" s="116"/>
      <c r="H167" s="116"/>
      <c r="I167" s="116"/>
      <c r="J167" s="116"/>
      <c r="K167" s="116"/>
      <c r="L167" s="116"/>
      <c r="M167" s="116"/>
      <c r="N167" s="116"/>
    </row>
    <row r="168" spans="1:14" ht="15.75">
      <c r="A168" s="349"/>
      <c r="B168" s="116"/>
      <c r="C168" s="116"/>
      <c r="D168" s="116"/>
      <c r="E168" s="116"/>
      <c r="F168" s="116"/>
      <c r="G168" s="116"/>
      <c r="H168" s="116"/>
      <c r="I168" s="116"/>
      <c r="J168" s="116"/>
      <c r="K168" s="116"/>
      <c r="L168" s="116"/>
      <c r="M168" s="116"/>
      <c r="N168" s="116"/>
    </row>
    <row r="169" spans="1:14" ht="15.75">
      <c r="A169" s="349"/>
      <c r="B169" s="116"/>
      <c r="C169" s="116"/>
      <c r="D169" s="116"/>
      <c r="E169" s="116"/>
      <c r="F169" s="116"/>
      <c r="G169" s="116"/>
      <c r="H169" s="116"/>
      <c r="I169" s="116"/>
      <c r="J169" s="116"/>
      <c r="K169" s="116"/>
      <c r="L169" s="116"/>
      <c r="M169" s="116"/>
      <c r="N169" s="116"/>
    </row>
    <row r="170" spans="1:14" ht="15.75">
      <c r="A170" s="349"/>
      <c r="B170" s="116"/>
      <c r="C170" s="116"/>
      <c r="D170" s="116"/>
      <c r="E170" s="116"/>
      <c r="F170" s="116"/>
      <c r="G170" s="116"/>
      <c r="H170" s="116"/>
      <c r="I170" s="116"/>
      <c r="J170" s="116"/>
      <c r="K170" s="116"/>
      <c r="L170" s="116"/>
      <c r="M170" s="116"/>
      <c r="N170" s="116"/>
    </row>
    <row r="171" spans="1:14" ht="15.75">
      <c r="A171" s="349"/>
      <c r="B171" s="116"/>
      <c r="C171" s="116"/>
      <c r="D171" s="116"/>
      <c r="E171" s="116"/>
      <c r="F171" s="116"/>
      <c r="G171" s="116"/>
      <c r="H171" s="116"/>
      <c r="I171" s="116"/>
      <c r="J171" s="116"/>
      <c r="K171" s="116"/>
      <c r="L171" s="116"/>
      <c r="M171" s="116"/>
      <c r="N171" s="116"/>
    </row>
    <row r="172" spans="1:14" ht="15.75">
      <c r="A172" s="349"/>
      <c r="B172" s="116"/>
      <c r="C172" s="116"/>
      <c r="D172" s="116"/>
      <c r="E172" s="116"/>
      <c r="F172" s="116"/>
      <c r="G172" s="116"/>
      <c r="H172" s="116"/>
      <c r="I172" s="116"/>
      <c r="J172" s="116"/>
      <c r="K172" s="116"/>
      <c r="L172" s="116"/>
      <c r="M172" s="116"/>
      <c r="N172" s="116"/>
    </row>
    <row r="173" spans="1:14" ht="15.75">
      <c r="A173" s="349"/>
      <c r="B173" s="116"/>
      <c r="C173" s="116"/>
      <c r="D173" s="116"/>
      <c r="E173" s="116"/>
      <c r="F173" s="116"/>
      <c r="G173" s="116"/>
      <c r="H173" s="116"/>
      <c r="I173" s="116"/>
      <c r="J173" s="116"/>
      <c r="K173" s="116"/>
      <c r="L173" s="116"/>
      <c r="M173" s="116"/>
      <c r="N173" s="116"/>
    </row>
    <row r="174" spans="1:14" ht="15.75">
      <c r="A174" s="349"/>
      <c r="B174" s="116"/>
      <c r="C174" s="116"/>
      <c r="D174" s="116"/>
      <c r="E174" s="116"/>
      <c r="F174" s="116"/>
      <c r="G174" s="116"/>
      <c r="H174" s="116"/>
      <c r="I174" s="116"/>
      <c r="J174" s="116"/>
      <c r="K174" s="116"/>
      <c r="L174" s="116"/>
      <c r="M174" s="116"/>
      <c r="N174" s="116"/>
    </row>
    <row r="175" spans="1:14" ht="15.75">
      <c r="A175" s="349"/>
      <c r="B175" s="116"/>
      <c r="C175" s="116"/>
      <c r="D175" s="116"/>
      <c r="E175" s="116"/>
      <c r="F175" s="116"/>
      <c r="G175" s="116"/>
      <c r="H175" s="116"/>
      <c r="I175" s="116"/>
      <c r="J175" s="116"/>
      <c r="K175" s="116"/>
      <c r="L175" s="116"/>
      <c r="M175" s="116"/>
      <c r="N175" s="116"/>
    </row>
    <row r="176" spans="1:14" ht="15.75">
      <c r="A176" s="349"/>
      <c r="B176" s="116"/>
      <c r="C176" s="116"/>
      <c r="D176" s="116"/>
      <c r="E176" s="116"/>
      <c r="F176" s="116"/>
      <c r="G176" s="116"/>
      <c r="H176" s="116"/>
      <c r="I176" s="116"/>
      <c r="J176" s="116"/>
      <c r="K176" s="116"/>
      <c r="L176" s="116"/>
      <c r="M176" s="116"/>
      <c r="N176" s="116"/>
    </row>
    <row r="177" spans="1:14" ht="15.75">
      <c r="A177" s="349"/>
      <c r="B177" s="116"/>
      <c r="C177" s="116"/>
      <c r="D177" s="116"/>
      <c r="E177" s="116"/>
      <c r="F177" s="116"/>
      <c r="G177" s="116"/>
      <c r="H177" s="116"/>
      <c r="I177" s="116"/>
      <c r="J177" s="116"/>
      <c r="K177" s="116"/>
      <c r="L177" s="116"/>
      <c r="M177" s="116"/>
      <c r="N177" s="116"/>
    </row>
    <row r="178" spans="1:14" ht="15.75">
      <c r="A178" s="349"/>
      <c r="B178" s="116"/>
      <c r="C178" s="116"/>
      <c r="D178" s="116"/>
      <c r="E178" s="116"/>
      <c r="F178" s="116"/>
      <c r="G178" s="116"/>
      <c r="H178" s="116"/>
      <c r="I178" s="116"/>
      <c r="J178" s="116"/>
      <c r="K178" s="116"/>
      <c r="L178" s="116"/>
      <c r="M178" s="116"/>
      <c r="N178" s="116"/>
    </row>
    <row r="179" spans="1:14" ht="15.75">
      <c r="A179" s="349"/>
      <c r="B179" s="116"/>
      <c r="C179" s="116"/>
      <c r="D179" s="116"/>
      <c r="E179" s="116"/>
      <c r="F179" s="116"/>
      <c r="G179" s="116"/>
      <c r="H179" s="116"/>
      <c r="I179" s="116"/>
      <c r="J179" s="116"/>
      <c r="K179" s="116"/>
      <c r="L179" s="116"/>
      <c r="M179" s="116"/>
      <c r="N179" s="116"/>
    </row>
    <row r="180" spans="1:14" ht="15.75">
      <c r="A180" s="349"/>
      <c r="B180" s="116"/>
      <c r="C180" s="116"/>
      <c r="D180" s="116"/>
      <c r="E180" s="116"/>
      <c r="F180" s="116"/>
      <c r="G180" s="116"/>
      <c r="H180" s="116"/>
      <c r="I180" s="116"/>
      <c r="J180" s="116"/>
      <c r="K180" s="116"/>
      <c r="L180" s="116"/>
      <c r="M180" s="116"/>
      <c r="N180" s="116"/>
    </row>
    <row r="181" spans="1:14" ht="15.75">
      <c r="A181" s="349"/>
      <c r="B181" s="116"/>
      <c r="C181" s="116"/>
      <c r="D181" s="116"/>
      <c r="E181" s="116"/>
      <c r="F181" s="116"/>
      <c r="G181" s="116"/>
      <c r="H181" s="116"/>
      <c r="I181" s="116"/>
      <c r="J181" s="116"/>
      <c r="K181" s="116"/>
      <c r="L181" s="116"/>
      <c r="M181" s="116"/>
      <c r="N181" s="116"/>
    </row>
    <row r="182" spans="1:14" ht="15.75">
      <c r="A182" s="349"/>
      <c r="B182" s="116"/>
      <c r="C182" s="116"/>
      <c r="D182" s="116"/>
      <c r="E182" s="116"/>
      <c r="F182" s="116"/>
      <c r="G182" s="116"/>
      <c r="H182" s="116"/>
      <c r="I182" s="116"/>
      <c r="J182" s="116"/>
      <c r="K182" s="116"/>
      <c r="L182" s="116"/>
      <c r="M182" s="116"/>
      <c r="N182" s="116"/>
    </row>
    <row r="183" spans="1:14" ht="15.75">
      <c r="A183" s="349"/>
      <c r="B183" s="116"/>
      <c r="C183" s="116"/>
      <c r="D183" s="116"/>
      <c r="E183" s="116"/>
      <c r="F183" s="116"/>
      <c r="G183" s="116"/>
      <c r="H183" s="116"/>
      <c r="I183" s="116"/>
      <c r="J183" s="116"/>
      <c r="K183" s="116"/>
      <c r="L183" s="116"/>
      <c r="M183" s="116"/>
      <c r="N183" s="116"/>
    </row>
    <row r="184" spans="1:14" ht="15.75">
      <c r="A184" s="349"/>
      <c r="B184" s="116"/>
      <c r="C184" s="116"/>
      <c r="D184" s="116"/>
      <c r="E184" s="116"/>
      <c r="F184" s="116"/>
      <c r="G184" s="116"/>
      <c r="H184" s="116"/>
      <c r="I184" s="116"/>
      <c r="J184" s="116"/>
      <c r="K184" s="116"/>
      <c r="L184" s="116"/>
      <c r="M184" s="116"/>
      <c r="N184" s="116"/>
    </row>
    <row r="185" spans="1:14" ht="15.75">
      <c r="A185" s="349"/>
      <c r="B185" s="116"/>
      <c r="C185" s="116"/>
      <c r="D185" s="116"/>
      <c r="E185" s="116"/>
      <c r="F185" s="116"/>
      <c r="G185" s="116"/>
      <c r="H185" s="116"/>
      <c r="I185" s="116"/>
      <c r="J185" s="116"/>
      <c r="K185" s="116"/>
      <c r="L185" s="116"/>
      <c r="M185" s="116"/>
      <c r="N185" s="116"/>
    </row>
    <row r="186" spans="1:14" ht="15.75">
      <c r="A186" s="349"/>
      <c r="B186" s="116"/>
      <c r="C186" s="116"/>
      <c r="D186" s="116"/>
      <c r="E186" s="116"/>
      <c r="F186" s="116"/>
      <c r="G186" s="116"/>
      <c r="H186" s="116"/>
      <c r="I186" s="116"/>
      <c r="J186" s="116"/>
      <c r="K186" s="116"/>
      <c r="L186" s="116"/>
      <c r="M186" s="116"/>
      <c r="N186" s="116"/>
    </row>
    <row r="187" spans="1:14" ht="15.75">
      <c r="A187" s="349"/>
      <c r="B187" s="116"/>
      <c r="C187" s="116"/>
      <c r="D187" s="116"/>
      <c r="E187" s="116"/>
      <c r="F187" s="116"/>
      <c r="G187" s="116"/>
      <c r="H187" s="116"/>
      <c r="I187" s="116"/>
      <c r="J187" s="116"/>
      <c r="K187" s="116"/>
      <c r="L187" s="116"/>
      <c r="M187" s="116"/>
      <c r="N187" s="116"/>
    </row>
    <row r="188" spans="1:14" ht="15.75">
      <c r="A188" s="349"/>
      <c r="B188" s="116"/>
      <c r="C188" s="116"/>
      <c r="D188" s="116"/>
      <c r="E188" s="116"/>
      <c r="F188" s="116"/>
      <c r="G188" s="116"/>
      <c r="H188" s="116"/>
      <c r="I188" s="116"/>
      <c r="J188" s="116"/>
      <c r="K188" s="116"/>
      <c r="L188" s="116"/>
      <c r="M188" s="116"/>
      <c r="N188" s="116"/>
    </row>
    <row r="189" spans="1:14" ht="15.75">
      <c r="A189" s="349"/>
      <c r="B189" s="116"/>
      <c r="C189" s="116"/>
      <c r="D189" s="116"/>
      <c r="E189" s="116"/>
      <c r="F189" s="116"/>
      <c r="G189" s="116"/>
      <c r="H189" s="116"/>
      <c r="I189" s="116"/>
      <c r="J189" s="116"/>
      <c r="K189" s="116"/>
      <c r="L189" s="116"/>
      <c r="M189" s="116"/>
      <c r="N189" s="116"/>
    </row>
    <row r="190" spans="1:14" ht="15.75">
      <c r="A190" s="349"/>
      <c r="B190" s="116"/>
      <c r="C190" s="116"/>
      <c r="D190" s="116"/>
      <c r="E190" s="116"/>
      <c r="F190" s="116"/>
      <c r="G190" s="116"/>
      <c r="H190" s="116"/>
      <c r="I190" s="116"/>
      <c r="J190" s="116"/>
      <c r="K190" s="116"/>
      <c r="L190" s="116"/>
      <c r="M190" s="116"/>
      <c r="N190" s="116"/>
    </row>
    <row r="191" spans="1:14" ht="15.75">
      <c r="A191" s="349"/>
      <c r="B191" s="116"/>
      <c r="C191" s="116"/>
      <c r="D191" s="116"/>
      <c r="E191" s="116"/>
      <c r="F191" s="116"/>
      <c r="G191" s="116"/>
      <c r="H191" s="116"/>
      <c r="I191" s="116"/>
      <c r="J191" s="116"/>
      <c r="K191" s="116"/>
      <c r="L191" s="116"/>
      <c r="M191" s="116"/>
      <c r="N191" s="116"/>
    </row>
    <row r="192" spans="1:14" ht="15.75">
      <c r="A192" s="349"/>
      <c r="B192" s="116"/>
      <c r="C192" s="116"/>
      <c r="D192" s="116"/>
      <c r="E192" s="116"/>
      <c r="F192" s="116"/>
      <c r="G192" s="116"/>
      <c r="H192" s="116"/>
      <c r="I192" s="116"/>
      <c r="J192" s="116"/>
      <c r="K192" s="116"/>
      <c r="L192" s="116"/>
      <c r="M192" s="116"/>
      <c r="N192" s="116"/>
    </row>
    <row r="193" spans="1:14" ht="15.75">
      <c r="A193" s="349"/>
      <c r="B193" s="116"/>
      <c r="C193" s="116"/>
      <c r="D193" s="116"/>
      <c r="E193" s="116"/>
      <c r="F193" s="116"/>
      <c r="G193" s="116"/>
      <c r="H193" s="116"/>
      <c r="I193" s="116"/>
      <c r="J193" s="116"/>
      <c r="K193" s="116"/>
      <c r="L193" s="116"/>
      <c r="M193" s="116"/>
      <c r="N193" s="116"/>
    </row>
    <row r="194" spans="1:14" ht="15.75">
      <c r="A194" s="349"/>
      <c r="B194" s="116"/>
      <c r="C194" s="116"/>
      <c r="D194" s="116"/>
      <c r="E194" s="116"/>
      <c r="F194" s="116"/>
      <c r="G194" s="116"/>
      <c r="H194" s="116"/>
      <c r="I194" s="116"/>
      <c r="J194" s="116"/>
      <c r="K194" s="116"/>
      <c r="L194" s="116"/>
      <c r="M194" s="116"/>
      <c r="N194" s="116"/>
    </row>
    <row r="195" spans="1:14" ht="15.75">
      <c r="A195" s="349"/>
      <c r="B195" s="116"/>
      <c r="C195" s="116"/>
      <c r="D195" s="116"/>
      <c r="E195" s="116"/>
      <c r="F195" s="116"/>
      <c r="G195" s="116"/>
      <c r="H195" s="116"/>
      <c r="I195" s="116"/>
      <c r="J195" s="116"/>
      <c r="K195" s="116"/>
      <c r="L195" s="116"/>
      <c r="M195" s="116"/>
      <c r="N195" s="116"/>
    </row>
    <row r="196" spans="1:14" ht="15.75">
      <c r="A196" s="349"/>
      <c r="B196" s="116"/>
      <c r="C196" s="116"/>
      <c r="D196" s="116"/>
      <c r="E196" s="116"/>
      <c r="F196" s="116"/>
      <c r="G196" s="116"/>
      <c r="H196" s="116"/>
      <c r="I196" s="116"/>
      <c r="J196" s="116"/>
      <c r="K196" s="116"/>
      <c r="L196" s="116"/>
      <c r="M196" s="116"/>
      <c r="N196" s="116"/>
    </row>
    <row r="197" spans="1:14" ht="15.75">
      <c r="A197" s="349"/>
      <c r="B197" s="116"/>
      <c r="C197" s="116"/>
      <c r="D197" s="116"/>
      <c r="E197" s="116"/>
      <c r="F197" s="116"/>
      <c r="G197" s="116"/>
      <c r="H197" s="116"/>
      <c r="I197" s="116"/>
      <c r="J197" s="116"/>
      <c r="K197" s="116"/>
      <c r="L197" s="116"/>
      <c r="M197" s="116"/>
      <c r="N197" s="116"/>
    </row>
  </sheetData>
  <mergeCells count="26">
    <mergeCell ref="A1:M1"/>
    <mergeCell ref="A2:M2"/>
    <mergeCell ref="A3:M3"/>
    <mergeCell ref="J33:M33"/>
    <mergeCell ref="A68:F68"/>
    <mergeCell ref="A32:F32"/>
    <mergeCell ref="J32:M32"/>
    <mergeCell ref="C43:J47"/>
    <mergeCell ref="G68:K68"/>
    <mergeCell ref="J69:M69"/>
    <mergeCell ref="A78:F78"/>
    <mergeCell ref="J78:M78"/>
    <mergeCell ref="A88:F88"/>
    <mergeCell ref="L88:M88"/>
    <mergeCell ref="J83:M83"/>
    <mergeCell ref="A96:F96"/>
    <mergeCell ref="J96:M96"/>
    <mergeCell ref="J104:M104"/>
    <mergeCell ref="A108:F108"/>
    <mergeCell ref="I110:M110"/>
    <mergeCell ref="I108:M108"/>
    <mergeCell ref="C100:F100"/>
    <mergeCell ref="C101:F101"/>
    <mergeCell ref="C102:F102"/>
    <mergeCell ref="C103:F103"/>
    <mergeCell ref="C104:F104"/>
  </mergeCells>
  <printOptions horizontalCentered="1"/>
  <pageMargins left="0.25" right="0.25" top="0.75" bottom="0.75" header="0.5" footer="0.5"/>
  <pageSetup scale="55" fitToHeight="0" orientation="landscape" r:id="rId1"/>
  <headerFooter alignWithMargins="0">
    <oddHeader>&amp;RCompliance Filing Attachment A</oddHeader>
  </headerFooter>
  <rowBreaks count="4" manualBreakCount="4">
    <brk id="29" max="16383" man="1"/>
    <brk id="66" max="13" man="1"/>
    <brk id="113" max="13" man="1"/>
    <brk id="135"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A7F4C-7FC4-4738-8A1A-C5DBDEA5C506}">
  <sheetPr>
    <tabColor rgb="FF92D050"/>
  </sheetPr>
  <dimension ref="A1:R45"/>
  <sheetViews>
    <sheetView zoomScale="70" zoomScaleNormal="70" zoomScalePageLayoutView="50" workbookViewId="0">
      <selection sqref="A1:Q1"/>
    </sheetView>
  </sheetViews>
  <sheetFormatPr defaultRowHeight="15.75"/>
  <cols>
    <col min="1" max="1" width="8.88671875" style="203" customWidth="1"/>
    <col min="2" max="2" width="41.21875" style="203" customWidth="1"/>
    <col min="3" max="3" width="23.6640625" style="469" customWidth="1"/>
    <col min="4" max="4" width="14.21875" style="203" bestFit="1" customWidth="1"/>
    <col min="5" max="6" width="16.21875" style="203" bestFit="1" customWidth="1"/>
    <col min="7" max="7" width="14.88671875" style="203" bestFit="1" customWidth="1"/>
    <col min="8" max="8" width="14.21875" style="203" bestFit="1" customWidth="1"/>
    <col min="9" max="9" width="14.88671875" style="203" bestFit="1" customWidth="1"/>
    <col min="10" max="10" width="14.6640625" style="203" customWidth="1"/>
    <col min="11" max="11" width="14.88671875" style="203" bestFit="1" customWidth="1"/>
    <col min="12" max="12" width="14.44140625" style="203" customWidth="1"/>
    <col min="13" max="13" width="14.88671875" style="203" bestFit="1" customWidth="1"/>
    <col min="14" max="14" width="14" style="203" bestFit="1" customWidth="1"/>
    <col min="15" max="16" width="15.88671875" style="203" customWidth="1"/>
    <col min="17" max="17" width="15.21875" style="203" customWidth="1"/>
    <col min="18" max="18" width="8.88671875" style="203" customWidth="1"/>
  </cols>
  <sheetData>
    <row r="1" spans="1:17" ht="18">
      <c r="A1" s="975" t="s">
        <v>604</v>
      </c>
      <c r="B1" s="975"/>
      <c r="C1" s="975"/>
      <c r="D1" s="975"/>
      <c r="E1" s="975"/>
      <c r="F1" s="975"/>
      <c r="G1" s="975"/>
      <c r="H1" s="975"/>
      <c r="I1" s="975"/>
      <c r="J1" s="975"/>
      <c r="K1" s="975"/>
      <c r="L1" s="975"/>
      <c r="M1" s="975"/>
      <c r="N1" s="975"/>
      <c r="O1" s="975"/>
      <c r="P1" s="975"/>
      <c r="Q1" s="975"/>
    </row>
    <row r="2" spans="1:17" ht="18">
      <c r="A2" s="975" t="s">
        <v>533</v>
      </c>
      <c r="B2" s="975"/>
      <c r="C2" s="975"/>
      <c r="D2" s="975"/>
      <c r="E2" s="975"/>
      <c r="F2" s="975"/>
      <c r="G2" s="975"/>
      <c r="H2" s="975"/>
      <c r="I2" s="975"/>
      <c r="J2" s="975"/>
      <c r="K2" s="975"/>
      <c r="L2" s="975"/>
      <c r="M2" s="975"/>
      <c r="N2" s="975"/>
      <c r="O2" s="975"/>
      <c r="P2" s="975"/>
      <c r="Q2" s="975"/>
    </row>
    <row r="3" spans="1:17">
      <c r="A3" s="974" t="str">
        <f>'Appendix A'!$D$9</f>
        <v>HURLEY AVENUE PROJECT - SYSTEM DELIVERABILITY UPGRADE</v>
      </c>
      <c r="B3" s="974"/>
      <c r="C3" s="974"/>
      <c r="D3" s="974"/>
      <c r="E3" s="974"/>
      <c r="F3" s="974"/>
      <c r="G3" s="974"/>
      <c r="H3" s="974"/>
      <c r="I3" s="974"/>
      <c r="J3" s="974"/>
      <c r="K3" s="974"/>
      <c r="L3" s="974"/>
      <c r="M3" s="974"/>
      <c r="N3" s="974"/>
      <c r="O3" s="974"/>
      <c r="P3" s="974"/>
      <c r="Q3" s="974"/>
    </row>
    <row r="4" spans="1:17" ht="16.5" thickBot="1">
      <c r="A4" s="986"/>
      <c r="B4" s="986"/>
      <c r="C4" s="986"/>
      <c r="D4" s="986"/>
      <c r="E4" s="986"/>
      <c r="F4" s="986"/>
      <c r="G4" s="488"/>
      <c r="H4" s="987"/>
      <c r="I4" s="988"/>
      <c r="J4" s="988"/>
      <c r="K4" s="988"/>
      <c r="L4" s="988"/>
      <c r="M4" s="988"/>
      <c r="N4" s="489"/>
      <c r="O4" s="489"/>
      <c r="P4" s="489"/>
      <c r="Q4" s="489"/>
    </row>
    <row r="5" spans="1:17">
      <c r="A5" s="583" t="s">
        <v>393</v>
      </c>
      <c r="B5" s="490"/>
      <c r="C5" s="704"/>
      <c r="D5" s="491"/>
      <c r="E5" s="492"/>
      <c r="F5" s="492"/>
      <c r="G5" s="492"/>
      <c r="H5" s="491"/>
      <c r="I5" s="491"/>
      <c r="J5" s="491"/>
      <c r="K5" s="491"/>
      <c r="L5" s="491"/>
      <c r="M5" s="491"/>
      <c r="N5" s="493"/>
      <c r="O5" s="493"/>
      <c r="P5" s="493"/>
      <c r="Q5" s="494"/>
    </row>
    <row r="6" spans="1:17">
      <c r="A6" s="495"/>
      <c r="B6" s="469"/>
      <c r="D6" s="923"/>
      <c r="E6" s="470"/>
      <c r="F6" s="470"/>
      <c r="G6" s="470"/>
      <c r="H6" s="470"/>
      <c r="I6" s="470"/>
      <c r="J6" s="470"/>
      <c r="K6" s="470"/>
      <c r="L6" s="470"/>
      <c r="M6" s="470"/>
      <c r="N6" s="470"/>
      <c r="O6" s="470"/>
      <c r="P6" s="470"/>
      <c r="Q6" s="471"/>
    </row>
    <row r="7" spans="1:17">
      <c r="A7" s="472"/>
      <c r="B7" s="469"/>
      <c r="C7" s="496" t="s">
        <v>358</v>
      </c>
      <c r="D7" s="701" t="s">
        <v>123</v>
      </c>
      <c r="E7" s="701" t="s">
        <v>199</v>
      </c>
      <c r="F7" s="701" t="s">
        <v>138</v>
      </c>
      <c r="G7" s="701" t="s">
        <v>137</v>
      </c>
      <c r="H7" s="701" t="s">
        <v>136</v>
      </c>
      <c r="I7" s="701" t="s">
        <v>148</v>
      </c>
      <c r="J7" s="701" t="s">
        <v>134</v>
      </c>
      <c r="K7" s="701" t="s">
        <v>132</v>
      </c>
      <c r="L7" s="701" t="s">
        <v>142</v>
      </c>
      <c r="M7" s="701" t="s">
        <v>141</v>
      </c>
      <c r="N7" s="701" t="s">
        <v>140</v>
      </c>
      <c r="O7" s="701" t="s">
        <v>124</v>
      </c>
      <c r="P7" s="701" t="s">
        <v>123</v>
      </c>
      <c r="Q7" s="471"/>
    </row>
    <row r="8" spans="1:17">
      <c r="A8" s="497" t="s">
        <v>221</v>
      </c>
      <c r="B8" s="498" t="s">
        <v>305</v>
      </c>
      <c r="C8" s="498" t="s">
        <v>359</v>
      </c>
      <c r="D8" s="889">
        <v>2018</v>
      </c>
      <c r="E8" s="499"/>
      <c r="F8" s="499"/>
      <c r="G8" s="499"/>
      <c r="H8" s="499"/>
      <c r="I8" s="499"/>
      <c r="J8" s="499"/>
      <c r="K8" s="499"/>
      <c r="L8" s="702">
        <f>+D8+1</f>
        <v>2019</v>
      </c>
      <c r="M8" s="499"/>
      <c r="N8" s="499"/>
      <c r="O8" s="499"/>
      <c r="P8" s="499"/>
      <c r="Q8" s="500" t="s">
        <v>360</v>
      </c>
    </row>
    <row r="9" spans="1:17" ht="30.75" customHeight="1">
      <c r="A9" s="472"/>
      <c r="D9" s="351" t="s">
        <v>133</v>
      </c>
      <c r="E9" s="469" t="s">
        <v>534</v>
      </c>
      <c r="F9" s="351" t="s">
        <v>133</v>
      </c>
      <c r="G9" s="351" t="s">
        <v>133</v>
      </c>
      <c r="H9" s="469" t="s">
        <v>534</v>
      </c>
      <c r="I9" s="351" t="s">
        <v>133</v>
      </c>
      <c r="J9" s="351" t="s">
        <v>133</v>
      </c>
      <c r="K9" s="469" t="s">
        <v>534</v>
      </c>
      <c r="L9" s="351" t="s">
        <v>133</v>
      </c>
      <c r="M9" s="351" t="s">
        <v>133</v>
      </c>
      <c r="N9" s="469" t="s">
        <v>534</v>
      </c>
      <c r="O9" s="351" t="s">
        <v>133</v>
      </c>
      <c r="P9" s="351" t="s">
        <v>133</v>
      </c>
      <c r="Q9" s="473"/>
    </row>
    <row r="10" spans="1:17">
      <c r="A10" s="472">
        <v>1</v>
      </c>
      <c r="B10" s="203" t="s">
        <v>361</v>
      </c>
      <c r="D10" s="474"/>
      <c r="E10" s="474"/>
      <c r="F10" s="474"/>
      <c r="G10" s="474"/>
      <c r="H10" s="474"/>
      <c r="I10" s="474"/>
      <c r="J10" s="474"/>
      <c r="K10" s="474"/>
      <c r="L10" s="474"/>
      <c r="M10" s="474"/>
      <c r="N10" s="474"/>
      <c r="O10" s="474"/>
      <c r="P10" s="474"/>
      <c r="Q10" s="475"/>
    </row>
    <row r="11" spans="1:17">
      <c r="A11" s="472">
        <f t="shared" ref="A11:A33" si="0">A10+1</f>
        <v>2</v>
      </c>
      <c r="B11" s="476" t="s">
        <v>362</v>
      </c>
      <c r="C11" s="469" t="s">
        <v>363</v>
      </c>
      <c r="D11" s="479">
        <v>0</v>
      </c>
      <c r="E11" s="479">
        <v>0</v>
      </c>
      <c r="F11" s="479">
        <v>0</v>
      </c>
      <c r="G11" s="479">
        <v>0</v>
      </c>
      <c r="H11" s="479">
        <v>0</v>
      </c>
      <c r="I11" s="479">
        <v>0</v>
      </c>
      <c r="J11" s="479">
        <v>0</v>
      </c>
      <c r="K11" s="479">
        <v>0</v>
      </c>
      <c r="L11" s="479">
        <v>0</v>
      </c>
      <c r="M11" s="479">
        <v>0</v>
      </c>
      <c r="N11" s="479">
        <v>0</v>
      </c>
      <c r="O11" s="479">
        <v>0</v>
      </c>
      <c r="P11" s="479">
        <v>0</v>
      </c>
      <c r="Q11" s="475">
        <f>AVERAGE(D11:P11)</f>
        <v>0</v>
      </c>
    </row>
    <row r="12" spans="1:17">
      <c r="A12" s="472">
        <f t="shared" si="0"/>
        <v>3</v>
      </c>
      <c r="B12" s="476" t="s">
        <v>364</v>
      </c>
      <c r="C12" s="469" t="s">
        <v>365</v>
      </c>
      <c r="D12" s="501">
        <v>0</v>
      </c>
      <c r="E12" s="501">
        <v>0</v>
      </c>
      <c r="F12" s="501">
        <v>0</v>
      </c>
      <c r="G12" s="501">
        <v>0</v>
      </c>
      <c r="H12" s="501">
        <v>0</v>
      </c>
      <c r="I12" s="501">
        <v>0</v>
      </c>
      <c r="J12" s="501">
        <v>0</v>
      </c>
      <c r="K12" s="501">
        <v>0</v>
      </c>
      <c r="L12" s="501">
        <v>0</v>
      </c>
      <c r="M12" s="501">
        <v>0</v>
      </c>
      <c r="N12" s="501">
        <v>0</v>
      </c>
      <c r="O12" s="501">
        <v>0</v>
      </c>
      <c r="P12" s="501">
        <v>0</v>
      </c>
      <c r="Q12" s="502">
        <f>AVERAGE(D12:P12)</f>
        <v>0</v>
      </c>
    </row>
    <row r="13" spans="1:17">
      <c r="A13" s="472">
        <f t="shared" si="0"/>
        <v>4</v>
      </c>
      <c r="B13" s="476" t="s">
        <v>366</v>
      </c>
      <c r="C13" s="469" t="s">
        <v>367</v>
      </c>
      <c r="D13" s="501">
        <v>0</v>
      </c>
      <c r="E13" s="501">
        <v>0</v>
      </c>
      <c r="F13" s="501">
        <v>0</v>
      </c>
      <c r="G13" s="501">
        <v>0</v>
      </c>
      <c r="H13" s="501">
        <v>0</v>
      </c>
      <c r="I13" s="501">
        <v>0</v>
      </c>
      <c r="J13" s="501">
        <v>0</v>
      </c>
      <c r="K13" s="501">
        <v>0</v>
      </c>
      <c r="L13" s="501">
        <v>0</v>
      </c>
      <c r="M13" s="501">
        <v>0</v>
      </c>
      <c r="N13" s="501">
        <v>0</v>
      </c>
      <c r="O13" s="501">
        <v>0</v>
      </c>
      <c r="P13" s="501">
        <v>0</v>
      </c>
      <c r="Q13" s="502">
        <f>AVERAGE(D13:P13)</f>
        <v>0</v>
      </c>
    </row>
    <row r="14" spans="1:17" ht="16.5" thickBot="1">
      <c r="A14" s="472">
        <f t="shared" si="0"/>
        <v>5</v>
      </c>
      <c r="B14" s="477" t="s">
        <v>368</v>
      </c>
      <c r="C14" s="469" t="s">
        <v>416</v>
      </c>
      <c r="D14" s="481">
        <v>0</v>
      </c>
      <c r="E14" s="481">
        <v>0</v>
      </c>
      <c r="F14" s="481">
        <v>0</v>
      </c>
      <c r="G14" s="481">
        <v>0</v>
      </c>
      <c r="H14" s="481">
        <v>0</v>
      </c>
      <c r="I14" s="481">
        <v>0</v>
      </c>
      <c r="J14" s="481">
        <v>0</v>
      </c>
      <c r="K14" s="481">
        <v>0</v>
      </c>
      <c r="L14" s="481">
        <v>0</v>
      </c>
      <c r="M14" s="481">
        <v>0</v>
      </c>
      <c r="N14" s="481">
        <v>0</v>
      </c>
      <c r="O14" s="481">
        <v>0</v>
      </c>
      <c r="P14" s="481">
        <v>0</v>
      </c>
      <c r="Q14" s="502">
        <f>AVERAGE(D14:P14)</f>
        <v>0</v>
      </c>
    </row>
    <row r="15" spans="1:17" ht="16.5" thickBot="1">
      <c r="A15" s="472">
        <f t="shared" si="0"/>
        <v>6</v>
      </c>
      <c r="B15" s="478" t="s">
        <v>369</v>
      </c>
      <c r="C15" s="469" t="str">
        <f>"Sum Lines "&amp;A11&amp;" - "&amp;A14</f>
        <v>Sum Lines 2 - 5</v>
      </c>
      <c r="D15" s="474">
        <f>SUM(D11:D14)</f>
        <v>0</v>
      </c>
      <c r="E15" s="474">
        <f>SUM(E11:E14)</f>
        <v>0</v>
      </c>
      <c r="F15" s="474">
        <f t="shared" ref="F15:P15" si="1">SUM(F11:F14)</f>
        <v>0</v>
      </c>
      <c r="G15" s="474">
        <f t="shared" si="1"/>
        <v>0</v>
      </c>
      <c r="H15" s="474">
        <f t="shared" si="1"/>
        <v>0</v>
      </c>
      <c r="I15" s="474">
        <f t="shared" si="1"/>
        <v>0</v>
      </c>
      <c r="J15" s="474">
        <f t="shared" si="1"/>
        <v>0</v>
      </c>
      <c r="K15" s="474">
        <f t="shared" si="1"/>
        <v>0</v>
      </c>
      <c r="L15" s="474">
        <f t="shared" si="1"/>
        <v>0</v>
      </c>
      <c r="M15" s="474">
        <f t="shared" si="1"/>
        <v>0</v>
      </c>
      <c r="N15" s="474">
        <f t="shared" si="1"/>
        <v>0</v>
      </c>
      <c r="O15" s="474">
        <f t="shared" si="1"/>
        <v>0</v>
      </c>
      <c r="P15" s="474">
        <f t="shared" si="1"/>
        <v>0</v>
      </c>
      <c r="Q15" s="482">
        <f>SUM(Q11:Q14)</f>
        <v>0</v>
      </c>
    </row>
    <row r="16" spans="1:17" ht="16.5" thickBot="1">
      <c r="A16" s="472"/>
      <c r="D16" s="474"/>
      <c r="E16" s="474"/>
      <c r="F16" s="474"/>
      <c r="G16" s="474"/>
      <c r="H16" s="474"/>
      <c r="I16" s="474"/>
      <c r="J16" s="474"/>
      <c r="K16" s="474"/>
      <c r="L16" s="474"/>
      <c r="M16" s="474"/>
      <c r="N16" s="474"/>
      <c r="O16" s="474"/>
      <c r="P16" s="474"/>
      <c r="Q16" s="475"/>
    </row>
    <row r="17" spans="1:17" ht="16.5" thickBot="1">
      <c r="A17" s="472">
        <f>+A15+1</f>
        <v>7</v>
      </c>
      <c r="B17" s="478" t="s">
        <v>432</v>
      </c>
      <c r="C17" s="469" t="s">
        <v>370</v>
      </c>
      <c r="D17" s="479">
        <v>0</v>
      </c>
      <c r="E17" s="479">
        <v>0</v>
      </c>
      <c r="F17" s="479">
        <v>0</v>
      </c>
      <c r="G17" s="479">
        <v>0</v>
      </c>
      <c r="H17" s="479">
        <v>0</v>
      </c>
      <c r="I17" s="479">
        <v>0</v>
      </c>
      <c r="J17" s="479">
        <v>0</v>
      </c>
      <c r="K17" s="479">
        <v>0</v>
      </c>
      <c r="L17" s="479">
        <v>0</v>
      </c>
      <c r="M17" s="479">
        <v>0</v>
      </c>
      <c r="N17" s="479">
        <v>0</v>
      </c>
      <c r="O17" s="479">
        <v>0</v>
      </c>
      <c r="P17" s="479">
        <v>0</v>
      </c>
      <c r="Q17" s="482">
        <f>AVERAGE(D17:P17)</f>
        <v>0</v>
      </c>
    </row>
    <row r="18" spans="1:17">
      <c r="A18" s="472"/>
      <c r="D18" s="474"/>
      <c r="E18" s="474"/>
      <c r="F18" s="474"/>
      <c r="G18" s="474"/>
      <c r="H18" s="474"/>
      <c r="I18" s="474"/>
      <c r="J18" s="474"/>
      <c r="K18" s="474"/>
      <c r="L18" s="474"/>
      <c r="M18" s="474"/>
      <c r="N18" s="474"/>
      <c r="O18" s="474"/>
      <c r="P18" s="474"/>
      <c r="Q18" s="475"/>
    </row>
    <row r="19" spans="1:17">
      <c r="A19" s="472">
        <f>+A17+1</f>
        <v>8</v>
      </c>
      <c r="B19" s="203" t="s">
        <v>371</v>
      </c>
      <c r="C19" s="469" t="s">
        <v>372</v>
      </c>
      <c r="D19" s="479">
        <v>0</v>
      </c>
      <c r="E19" s="479">
        <v>0</v>
      </c>
      <c r="F19" s="479">
        <v>0</v>
      </c>
      <c r="G19" s="479">
        <v>0</v>
      </c>
      <c r="H19" s="479">
        <v>0</v>
      </c>
      <c r="I19" s="479">
        <v>0</v>
      </c>
      <c r="J19" s="479">
        <v>0</v>
      </c>
      <c r="K19" s="479">
        <v>0</v>
      </c>
      <c r="L19" s="479">
        <v>0</v>
      </c>
      <c r="M19" s="479">
        <v>0</v>
      </c>
      <c r="N19" s="479">
        <v>0</v>
      </c>
      <c r="O19" s="479">
        <v>0</v>
      </c>
      <c r="P19" s="479">
        <v>0</v>
      </c>
      <c r="Q19" s="475">
        <f>+AVERAGE(D19:P19)</f>
        <v>0</v>
      </c>
    </row>
    <row r="20" spans="1:17">
      <c r="A20" s="472">
        <f t="shared" si="0"/>
        <v>9</v>
      </c>
      <c r="B20" s="476" t="s">
        <v>373</v>
      </c>
      <c r="C20" s="469" t="s">
        <v>370</v>
      </c>
      <c r="D20" s="479">
        <f t="shared" ref="D20:I20" si="2">D17</f>
        <v>0</v>
      </c>
      <c r="E20" s="479">
        <f t="shared" si="2"/>
        <v>0</v>
      </c>
      <c r="F20" s="479">
        <f t="shared" si="2"/>
        <v>0</v>
      </c>
      <c r="G20" s="479">
        <f t="shared" si="2"/>
        <v>0</v>
      </c>
      <c r="H20" s="479">
        <f t="shared" si="2"/>
        <v>0</v>
      </c>
      <c r="I20" s="479">
        <f t="shared" si="2"/>
        <v>0</v>
      </c>
      <c r="J20" s="479">
        <f>J17</f>
        <v>0</v>
      </c>
      <c r="K20" s="479">
        <f t="shared" ref="K20:P20" si="3">K17</f>
        <v>0</v>
      </c>
      <c r="L20" s="479">
        <f t="shared" si="3"/>
        <v>0</v>
      </c>
      <c r="M20" s="479">
        <f t="shared" si="3"/>
        <v>0</v>
      </c>
      <c r="N20" s="479">
        <f t="shared" si="3"/>
        <v>0</v>
      </c>
      <c r="O20" s="479">
        <f t="shared" si="3"/>
        <v>0</v>
      </c>
      <c r="P20" s="479">
        <f t="shared" si="3"/>
        <v>0</v>
      </c>
      <c r="Q20" s="475">
        <f>AVERAGE(D20:P20)</f>
        <v>0</v>
      </c>
    </row>
    <row r="21" spans="1:17">
      <c r="A21" s="472">
        <f t="shared" si="0"/>
        <v>10</v>
      </c>
      <c r="B21" s="483" t="s">
        <v>374</v>
      </c>
      <c r="C21" s="469" t="s">
        <v>375</v>
      </c>
      <c r="D21" s="479">
        <v>0</v>
      </c>
      <c r="E21" s="479">
        <v>0</v>
      </c>
      <c r="F21" s="479">
        <v>0</v>
      </c>
      <c r="G21" s="479">
        <v>0</v>
      </c>
      <c r="H21" s="479">
        <v>0</v>
      </c>
      <c r="I21" s="479">
        <v>0</v>
      </c>
      <c r="J21" s="479">
        <v>0</v>
      </c>
      <c r="K21" s="479">
        <v>0</v>
      </c>
      <c r="L21" s="479">
        <v>0</v>
      </c>
      <c r="M21" s="479">
        <v>0</v>
      </c>
      <c r="N21" s="479">
        <v>0</v>
      </c>
      <c r="O21" s="479">
        <v>0</v>
      </c>
      <c r="P21" s="479">
        <v>0</v>
      </c>
      <c r="Q21" s="475">
        <f>AVERAGE(D21:P21)</f>
        <v>0</v>
      </c>
    </row>
    <row r="22" spans="1:17" ht="32.25" thickBot="1">
      <c r="A22" s="472">
        <f t="shared" si="0"/>
        <v>11</v>
      </c>
      <c r="B22" s="483" t="s">
        <v>376</v>
      </c>
      <c r="C22" s="469" t="s">
        <v>377</v>
      </c>
      <c r="D22" s="481">
        <v>0</v>
      </c>
      <c r="E22" s="481">
        <v>0</v>
      </c>
      <c r="F22" s="481">
        <v>0</v>
      </c>
      <c r="G22" s="481">
        <v>0</v>
      </c>
      <c r="H22" s="481">
        <v>0</v>
      </c>
      <c r="I22" s="481">
        <v>0</v>
      </c>
      <c r="J22" s="481">
        <v>0</v>
      </c>
      <c r="K22" s="481">
        <v>0</v>
      </c>
      <c r="L22" s="481">
        <v>0</v>
      </c>
      <c r="M22" s="481">
        <v>0</v>
      </c>
      <c r="N22" s="481">
        <v>0</v>
      </c>
      <c r="O22" s="481">
        <v>0</v>
      </c>
      <c r="P22" s="481">
        <v>0</v>
      </c>
      <c r="Q22" s="503">
        <f>AVERAGE(D22:P22)</f>
        <v>0</v>
      </c>
    </row>
    <row r="23" spans="1:17" ht="16.5" thickBot="1">
      <c r="A23" s="472">
        <f t="shared" si="0"/>
        <v>12</v>
      </c>
      <c r="B23" s="203" t="str">
        <f>"Adjusted Common Equity"</f>
        <v>Adjusted Common Equity</v>
      </c>
      <c r="C23" s="469" t="str">
        <f>"Lines "&amp; A19&amp;" - "&amp;A20&amp;" - "&amp;A21&amp;" - "&amp;A22</f>
        <v>Lines 8 - 9 - 10 - 11</v>
      </c>
      <c r="D23" s="474">
        <f>D19-D20-D21-D22</f>
        <v>0</v>
      </c>
      <c r="E23" s="474">
        <f t="shared" ref="E23:P23" si="4">E19-E20-E21-E22</f>
        <v>0</v>
      </c>
      <c r="F23" s="474">
        <f t="shared" si="4"/>
        <v>0</v>
      </c>
      <c r="G23" s="474">
        <f t="shared" si="4"/>
        <v>0</v>
      </c>
      <c r="H23" s="474">
        <f t="shared" si="4"/>
        <v>0</v>
      </c>
      <c r="I23" s="474">
        <f t="shared" si="4"/>
        <v>0</v>
      </c>
      <c r="J23" s="474">
        <f t="shared" si="4"/>
        <v>0</v>
      </c>
      <c r="K23" s="474">
        <f t="shared" si="4"/>
        <v>0</v>
      </c>
      <c r="L23" s="474">
        <f t="shared" si="4"/>
        <v>0</v>
      </c>
      <c r="M23" s="474">
        <f t="shared" si="4"/>
        <v>0</v>
      </c>
      <c r="N23" s="474">
        <f t="shared" si="4"/>
        <v>0</v>
      </c>
      <c r="O23" s="474">
        <f t="shared" si="4"/>
        <v>0</v>
      </c>
      <c r="P23" s="474">
        <f t="shared" si="4"/>
        <v>0</v>
      </c>
      <c r="Q23" s="482">
        <f>Q19-Q20-Q21-Q22</f>
        <v>0</v>
      </c>
    </row>
    <row r="24" spans="1:17">
      <c r="A24" s="472"/>
      <c r="D24" s="474"/>
      <c r="E24" s="474"/>
      <c r="F24" s="474"/>
      <c r="G24" s="474"/>
      <c r="H24" s="474"/>
      <c r="I24" s="474"/>
      <c r="J24" s="474"/>
      <c r="K24" s="474"/>
      <c r="L24" s="474"/>
      <c r="M24" s="474"/>
      <c r="N24" s="474"/>
      <c r="O24" s="474"/>
      <c r="P24" s="474"/>
      <c r="Q24" s="475"/>
    </row>
    <row r="25" spans="1:17">
      <c r="A25" s="472">
        <f>+A23+1</f>
        <v>13</v>
      </c>
      <c r="B25" s="203" t="s">
        <v>539</v>
      </c>
      <c r="C25" s="469" t="str">
        <f>"Lines "&amp;A15&amp;" + "&amp;A17&amp;" + "&amp;A23&amp;""</f>
        <v>Lines 6 + 7 + 12</v>
      </c>
      <c r="D25" s="474">
        <f>D15+D17+D23</f>
        <v>0</v>
      </c>
      <c r="E25" s="474">
        <f t="shared" ref="E25:P25" si="5">E15+E17+E23</f>
        <v>0</v>
      </c>
      <c r="F25" s="474">
        <f t="shared" si="5"/>
        <v>0</v>
      </c>
      <c r="G25" s="474">
        <f t="shared" si="5"/>
        <v>0</v>
      </c>
      <c r="H25" s="474">
        <f t="shared" si="5"/>
        <v>0</v>
      </c>
      <c r="I25" s="474">
        <f t="shared" si="5"/>
        <v>0</v>
      </c>
      <c r="J25" s="474">
        <f t="shared" si="5"/>
        <v>0</v>
      </c>
      <c r="K25" s="474">
        <f t="shared" si="5"/>
        <v>0</v>
      </c>
      <c r="L25" s="474">
        <f t="shared" si="5"/>
        <v>0</v>
      </c>
      <c r="M25" s="474">
        <f t="shared" si="5"/>
        <v>0</v>
      </c>
      <c r="N25" s="474">
        <f t="shared" si="5"/>
        <v>0</v>
      </c>
      <c r="O25" s="474">
        <f t="shared" si="5"/>
        <v>0</v>
      </c>
      <c r="P25" s="474">
        <f t="shared" si="5"/>
        <v>0</v>
      </c>
      <c r="Q25" s="475">
        <f>Q15+Q17+Q23</f>
        <v>0</v>
      </c>
    </row>
    <row r="26" spans="1:17">
      <c r="A26" s="472"/>
      <c r="D26" s="474"/>
      <c r="E26" s="474"/>
      <c r="F26" s="474"/>
      <c r="G26" s="474"/>
      <c r="H26" s="474"/>
      <c r="I26" s="474"/>
      <c r="J26" s="474"/>
      <c r="K26" s="474"/>
      <c r="L26" s="474"/>
      <c r="M26" s="474"/>
      <c r="N26" s="474"/>
      <c r="O26" s="474"/>
      <c r="P26" s="474"/>
      <c r="Q26" s="475"/>
    </row>
    <row r="27" spans="1:17">
      <c r="A27" s="472"/>
      <c r="B27" s="203" t="s">
        <v>378</v>
      </c>
      <c r="D27" s="474"/>
      <c r="E27" s="504"/>
      <c r="F27" s="504"/>
      <c r="G27" s="504"/>
      <c r="H27" s="504"/>
      <c r="I27" s="504"/>
      <c r="J27" s="587"/>
      <c r="K27" s="504"/>
      <c r="L27" s="504"/>
      <c r="M27" s="504"/>
      <c r="N27" s="504"/>
      <c r="O27" s="504"/>
      <c r="P27" s="504"/>
      <c r="Q27" s="505"/>
    </row>
    <row r="28" spans="1:17">
      <c r="A28" s="703">
        <f>+A25+1</f>
        <v>14</v>
      </c>
      <c r="B28" s="483" t="s">
        <v>379</v>
      </c>
      <c r="C28" s="469" t="s">
        <v>380</v>
      </c>
      <c r="D28" s="480">
        <v>0</v>
      </c>
      <c r="E28" s="480">
        <v>0</v>
      </c>
      <c r="F28" s="480">
        <v>0</v>
      </c>
      <c r="G28" s="480">
        <v>0</v>
      </c>
      <c r="H28" s="480">
        <v>0</v>
      </c>
      <c r="I28" s="480">
        <v>0</v>
      </c>
      <c r="J28" s="480">
        <v>0</v>
      </c>
      <c r="K28" s="480">
        <v>0</v>
      </c>
      <c r="L28" s="480">
        <v>0</v>
      </c>
      <c r="M28" s="480">
        <v>0</v>
      </c>
      <c r="N28" s="480">
        <v>0</v>
      </c>
      <c r="O28" s="480">
        <v>0</v>
      </c>
      <c r="P28" s="480">
        <v>0</v>
      </c>
      <c r="Q28" s="475">
        <f>SUM(D28:P28)</f>
        <v>0</v>
      </c>
    </row>
    <row r="29" spans="1:17">
      <c r="A29" s="472">
        <f t="shared" si="0"/>
        <v>15</v>
      </c>
      <c r="B29" s="483" t="s">
        <v>381</v>
      </c>
      <c r="C29" s="469" t="s">
        <v>382</v>
      </c>
      <c r="D29" s="480">
        <v>0</v>
      </c>
      <c r="E29" s="480">
        <v>0</v>
      </c>
      <c r="F29" s="480">
        <v>0</v>
      </c>
      <c r="G29" s="480">
        <v>0</v>
      </c>
      <c r="H29" s="480">
        <v>0</v>
      </c>
      <c r="I29" s="480">
        <v>0</v>
      </c>
      <c r="J29" s="480">
        <v>0</v>
      </c>
      <c r="K29" s="480">
        <v>0</v>
      </c>
      <c r="L29" s="480">
        <v>0</v>
      </c>
      <c r="M29" s="480">
        <v>0</v>
      </c>
      <c r="N29" s="480">
        <v>0</v>
      </c>
      <c r="O29" s="480">
        <v>0</v>
      </c>
      <c r="P29" s="480">
        <v>0</v>
      </c>
      <c r="Q29" s="475">
        <f>SUM(D29:P29)</f>
        <v>0</v>
      </c>
    </row>
    <row r="30" spans="1:17">
      <c r="A30" s="472">
        <f t="shared" si="0"/>
        <v>16</v>
      </c>
      <c r="B30" s="483" t="s">
        <v>383</v>
      </c>
      <c r="C30" s="469" t="s">
        <v>384</v>
      </c>
      <c r="D30" s="480">
        <v>0</v>
      </c>
      <c r="E30" s="480">
        <v>0</v>
      </c>
      <c r="F30" s="480">
        <v>0</v>
      </c>
      <c r="G30" s="480">
        <v>0</v>
      </c>
      <c r="H30" s="480">
        <v>0</v>
      </c>
      <c r="I30" s="480">
        <v>0</v>
      </c>
      <c r="J30" s="480">
        <v>0</v>
      </c>
      <c r="K30" s="480">
        <v>0</v>
      </c>
      <c r="L30" s="480">
        <v>0</v>
      </c>
      <c r="M30" s="480">
        <v>0</v>
      </c>
      <c r="N30" s="480">
        <v>0</v>
      </c>
      <c r="O30" s="480">
        <v>0</v>
      </c>
      <c r="P30" s="480">
        <v>0</v>
      </c>
      <c r="Q30" s="475">
        <f>SUM(D30:P30)</f>
        <v>0</v>
      </c>
    </row>
    <row r="31" spans="1:17" ht="31.5">
      <c r="A31" s="472">
        <f t="shared" si="0"/>
        <v>17</v>
      </c>
      <c r="B31" s="483" t="s">
        <v>535</v>
      </c>
      <c r="C31" s="469" t="s">
        <v>385</v>
      </c>
      <c r="D31" s="480">
        <v>0</v>
      </c>
      <c r="E31" s="480">
        <v>0</v>
      </c>
      <c r="F31" s="480">
        <v>0</v>
      </c>
      <c r="G31" s="480">
        <v>0</v>
      </c>
      <c r="H31" s="480">
        <v>0</v>
      </c>
      <c r="I31" s="480">
        <v>0</v>
      </c>
      <c r="J31" s="480">
        <v>0</v>
      </c>
      <c r="K31" s="480">
        <v>0</v>
      </c>
      <c r="L31" s="480">
        <v>0</v>
      </c>
      <c r="M31" s="480">
        <v>0</v>
      </c>
      <c r="N31" s="480">
        <v>0</v>
      </c>
      <c r="O31" s="480">
        <v>0</v>
      </c>
      <c r="P31" s="480">
        <v>0</v>
      </c>
      <c r="Q31" s="475">
        <f t="shared" ref="Q31:Q33" si="6">SUM(D31:P31)</f>
        <v>0</v>
      </c>
    </row>
    <row r="32" spans="1:17">
      <c r="A32" s="472">
        <f t="shared" si="0"/>
        <v>18</v>
      </c>
      <c r="B32" s="506" t="s">
        <v>386</v>
      </c>
      <c r="C32" s="469" t="s">
        <v>387</v>
      </c>
      <c r="D32" s="480">
        <v>0</v>
      </c>
      <c r="E32" s="480">
        <v>0</v>
      </c>
      <c r="F32" s="480">
        <v>0</v>
      </c>
      <c r="G32" s="480">
        <v>0</v>
      </c>
      <c r="H32" s="480">
        <v>0</v>
      </c>
      <c r="I32" s="480">
        <v>0</v>
      </c>
      <c r="J32" s="480">
        <v>0</v>
      </c>
      <c r="K32" s="480">
        <v>0</v>
      </c>
      <c r="L32" s="480">
        <v>0</v>
      </c>
      <c r="M32" s="480">
        <v>0</v>
      </c>
      <c r="N32" s="480">
        <v>0</v>
      </c>
      <c r="O32" s="480">
        <v>0</v>
      </c>
      <c r="P32" s="480">
        <v>0</v>
      </c>
      <c r="Q32" s="475">
        <f t="shared" si="6"/>
        <v>0</v>
      </c>
    </row>
    <row r="33" spans="1:17" ht="16.5" thickBot="1">
      <c r="A33" s="472">
        <f t="shared" si="0"/>
        <v>19</v>
      </c>
      <c r="B33" s="506" t="s">
        <v>388</v>
      </c>
      <c r="C33" s="469" t="s">
        <v>389</v>
      </c>
      <c r="D33" s="507">
        <v>0</v>
      </c>
      <c r="E33" s="507">
        <v>0</v>
      </c>
      <c r="F33" s="507">
        <v>0</v>
      </c>
      <c r="G33" s="507">
        <v>0</v>
      </c>
      <c r="H33" s="507">
        <v>0</v>
      </c>
      <c r="I33" s="507">
        <v>0</v>
      </c>
      <c r="J33" s="507">
        <v>0</v>
      </c>
      <c r="K33" s="507">
        <v>0</v>
      </c>
      <c r="L33" s="507">
        <v>0</v>
      </c>
      <c r="M33" s="507">
        <v>0</v>
      </c>
      <c r="N33" s="507">
        <v>0</v>
      </c>
      <c r="O33" s="507">
        <v>0</v>
      </c>
      <c r="P33" s="507">
        <v>0</v>
      </c>
      <c r="Q33" s="475">
        <f t="shared" si="6"/>
        <v>0</v>
      </c>
    </row>
    <row r="34" spans="1:17" ht="16.5" thickBot="1">
      <c r="A34" s="472">
        <f>A33+1</f>
        <v>20</v>
      </c>
      <c r="B34" s="483" t="s">
        <v>390</v>
      </c>
      <c r="C34" s="469" t="str">
        <f>"Sum Lines "&amp;A28&amp;" - "&amp;A33</f>
        <v>Sum Lines 14 - 19</v>
      </c>
      <c r="D34" s="474">
        <f>SUM(D28:D33)</f>
        <v>0</v>
      </c>
      <c r="E34" s="474">
        <f t="shared" ref="E34:I34" si="7">SUM(E28:E33)</f>
        <v>0</v>
      </c>
      <c r="F34" s="474">
        <f t="shared" si="7"/>
        <v>0</v>
      </c>
      <c r="G34" s="474">
        <f t="shared" si="7"/>
        <v>0</v>
      </c>
      <c r="H34" s="474">
        <f t="shared" si="7"/>
        <v>0</v>
      </c>
      <c r="I34" s="474">
        <f t="shared" si="7"/>
        <v>0</v>
      </c>
      <c r="J34" s="474">
        <f t="shared" ref="J34:Q34" si="8">SUM(J28:J33)</f>
        <v>0</v>
      </c>
      <c r="K34" s="474">
        <f t="shared" si="8"/>
        <v>0</v>
      </c>
      <c r="L34" s="474">
        <f t="shared" si="8"/>
        <v>0</v>
      </c>
      <c r="M34" s="474">
        <f t="shared" si="8"/>
        <v>0</v>
      </c>
      <c r="N34" s="474">
        <f t="shared" si="8"/>
        <v>0</v>
      </c>
      <c r="O34" s="474">
        <f t="shared" si="8"/>
        <v>0</v>
      </c>
      <c r="P34" s="474">
        <f t="shared" si="8"/>
        <v>0</v>
      </c>
      <c r="Q34" s="482">
        <f t="shared" si="8"/>
        <v>0</v>
      </c>
    </row>
    <row r="35" spans="1:17" ht="16.5" thickBot="1">
      <c r="A35" s="472"/>
      <c r="B35" s="476"/>
      <c r="D35" s="474"/>
      <c r="E35" s="474"/>
      <c r="F35" s="474"/>
      <c r="G35" s="474"/>
      <c r="H35" s="474"/>
      <c r="I35" s="474"/>
      <c r="J35" s="474"/>
      <c r="K35" s="474"/>
      <c r="L35" s="474"/>
      <c r="M35" s="474"/>
      <c r="N35" s="474"/>
      <c r="O35" s="474"/>
      <c r="P35" s="474"/>
      <c r="Q35" s="475"/>
    </row>
    <row r="36" spans="1:17" ht="16.5" thickBot="1">
      <c r="A36" s="472">
        <f>+A34+1</f>
        <v>21</v>
      </c>
      <c r="B36" s="578" t="s">
        <v>537</v>
      </c>
      <c r="C36" s="469" t="str">
        <f>"Line "&amp;A34&amp;" / Line "&amp;A15&amp;""</f>
        <v>Line 20 / Line 6</v>
      </c>
      <c r="D36" s="588"/>
      <c r="E36" s="588"/>
      <c r="F36" s="588"/>
      <c r="G36" s="588"/>
      <c r="H36" s="588"/>
      <c r="I36" s="588"/>
      <c r="J36" s="588"/>
      <c r="K36" s="588"/>
      <c r="L36" s="588"/>
      <c r="M36" s="588"/>
      <c r="N36" s="588"/>
      <c r="O36" s="588"/>
      <c r="P36" s="588"/>
      <c r="Q36" s="761">
        <f>IF(Q15=0,0,Q34/Q15)</f>
        <v>0</v>
      </c>
    </row>
    <row r="37" spans="1:17">
      <c r="A37" s="472"/>
      <c r="B37" s="476"/>
      <c r="D37" s="474"/>
      <c r="E37" s="474"/>
      <c r="F37" s="474"/>
      <c r="G37" s="474"/>
      <c r="H37" s="474"/>
      <c r="I37" s="474"/>
      <c r="J37" s="474"/>
      <c r="K37" s="474"/>
      <c r="L37" s="474"/>
      <c r="M37" s="474"/>
      <c r="N37" s="474"/>
      <c r="O37" s="474"/>
      <c r="P37" s="474"/>
      <c r="Q37" s="475"/>
    </row>
    <row r="38" spans="1:17">
      <c r="A38" s="472"/>
      <c r="B38" s="203" t="s">
        <v>239</v>
      </c>
      <c r="D38" s="474"/>
      <c r="E38" s="474"/>
      <c r="F38" s="474"/>
      <c r="G38" s="474"/>
      <c r="H38" s="474"/>
      <c r="I38" s="474"/>
      <c r="J38" s="474"/>
      <c r="K38" s="474"/>
      <c r="L38" s="474"/>
      <c r="M38" s="474"/>
      <c r="N38" s="474"/>
      <c r="O38" s="474"/>
      <c r="P38" s="474"/>
      <c r="Q38" s="475"/>
    </row>
    <row r="39" spans="1:17">
      <c r="A39" s="472">
        <f>+A36+1</f>
        <v>22</v>
      </c>
      <c r="B39" s="476" t="s">
        <v>391</v>
      </c>
      <c r="C39" s="469" t="s">
        <v>392</v>
      </c>
      <c r="D39" s="479">
        <v>0</v>
      </c>
      <c r="E39" s="479">
        <v>0</v>
      </c>
      <c r="F39" s="479">
        <v>0</v>
      </c>
      <c r="G39" s="479">
        <v>0</v>
      </c>
      <c r="H39" s="479">
        <v>0</v>
      </c>
      <c r="I39" s="479">
        <v>0</v>
      </c>
      <c r="J39" s="479">
        <v>0</v>
      </c>
      <c r="K39" s="479">
        <v>0</v>
      </c>
      <c r="L39" s="479">
        <v>0</v>
      </c>
      <c r="M39" s="479">
        <v>0</v>
      </c>
      <c r="N39" s="479">
        <v>0</v>
      </c>
      <c r="O39" s="479">
        <v>0</v>
      </c>
      <c r="P39" s="479">
        <v>0</v>
      </c>
      <c r="Q39" s="475">
        <f>+SUM(D39:P39)</f>
        <v>0</v>
      </c>
    </row>
    <row r="40" spans="1:17">
      <c r="A40" s="472"/>
      <c r="B40" s="476"/>
      <c r="D40" s="474"/>
      <c r="E40" s="474"/>
      <c r="F40" s="474"/>
      <c r="G40" s="474"/>
      <c r="H40" s="474"/>
      <c r="I40" s="474"/>
      <c r="J40" s="474"/>
      <c r="K40" s="474"/>
      <c r="L40" s="474"/>
      <c r="M40" s="474"/>
      <c r="N40" s="474"/>
      <c r="O40" s="474"/>
      <c r="P40" s="474"/>
      <c r="Q40" s="475"/>
    </row>
    <row r="41" spans="1:17">
      <c r="A41" s="472">
        <f>+A39+1</f>
        <v>23</v>
      </c>
      <c r="B41" s="476" t="s">
        <v>538</v>
      </c>
      <c r="C41" s="469" t="str">
        <f>"Line "&amp;A39&amp;" / Line "&amp;A17&amp;""</f>
        <v>Line 22 / Line 7</v>
      </c>
      <c r="D41" s="474"/>
      <c r="E41" s="474"/>
      <c r="F41" s="474"/>
      <c r="G41" s="474"/>
      <c r="H41" s="474"/>
      <c r="I41" s="474"/>
      <c r="J41" s="474"/>
      <c r="K41" s="474"/>
      <c r="L41" s="474"/>
      <c r="M41" s="474"/>
      <c r="N41" s="474"/>
      <c r="O41" s="474"/>
      <c r="P41" s="474"/>
      <c r="Q41" s="760">
        <f>IF(Q17=0,0,Q39/Q17)</f>
        <v>0</v>
      </c>
    </row>
    <row r="42" spans="1:17">
      <c r="A42" s="472"/>
      <c r="B42" s="476"/>
      <c r="D42" s="474"/>
      <c r="E42" s="474"/>
      <c r="F42" s="474"/>
      <c r="G42" s="474"/>
      <c r="H42" s="474"/>
      <c r="I42" s="474"/>
      <c r="J42" s="474"/>
      <c r="K42" s="474"/>
      <c r="L42" s="474"/>
      <c r="M42" s="474"/>
      <c r="N42" s="474"/>
      <c r="O42" s="474"/>
      <c r="P42" s="474"/>
      <c r="Q42" s="475"/>
    </row>
    <row r="43" spans="1:17">
      <c r="A43" s="472"/>
      <c r="B43" s="946"/>
      <c r="C43" s="946"/>
      <c r="D43" s="946"/>
      <c r="E43" s="946"/>
      <c r="F43" s="946"/>
      <c r="G43" s="946"/>
      <c r="H43" s="474"/>
      <c r="I43" s="474"/>
      <c r="J43" s="474"/>
      <c r="K43" s="474"/>
      <c r="L43" s="474"/>
      <c r="M43" s="474"/>
      <c r="N43" s="474"/>
      <c r="O43" s="474"/>
      <c r="P43" s="474"/>
      <c r="Q43" s="475"/>
    </row>
    <row r="44" spans="1:17">
      <c r="A44" s="472"/>
      <c r="B44" s="203" t="s">
        <v>536</v>
      </c>
      <c r="D44" s="474"/>
      <c r="E44" s="474"/>
      <c r="F44" s="474"/>
      <c r="G44" s="474"/>
      <c r="H44" s="474"/>
      <c r="I44" s="474"/>
      <c r="J44" s="474"/>
      <c r="K44" s="474"/>
      <c r="L44" s="474"/>
      <c r="M44" s="474"/>
      <c r="N44" s="474"/>
      <c r="O44" s="474"/>
      <c r="P44" s="474"/>
      <c r="Q44" s="475"/>
    </row>
    <row r="45" spans="1:17" ht="16.5" thickBot="1">
      <c r="A45" s="484"/>
      <c r="B45" s="485"/>
      <c r="C45" s="705"/>
      <c r="D45" s="486"/>
      <c r="E45" s="486"/>
      <c r="F45" s="486"/>
      <c r="G45" s="486"/>
      <c r="H45" s="486"/>
      <c r="I45" s="486"/>
      <c r="J45" s="486"/>
      <c r="K45" s="486"/>
      <c r="L45" s="486"/>
      <c r="M45" s="486"/>
      <c r="N45" s="486"/>
      <c r="O45" s="486"/>
      <c r="P45" s="486"/>
      <c r="Q45" s="487"/>
    </row>
  </sheetData>
  <mergeCells count="6">
    <mergeCell ref="B43:G43"/>
    <mergeCell ref="A1:Q1"/>
    <mergeCell ref="A2:Q2"/>
    <mergeCell ref="A3:Q3"/>
    <mergeCell ref="A4:F4"/>
    <mergeCell ref="H4:M4"/>
  </mergeCells>
  <pageMargins left="0.7" right="0.7" top="0.75" bottom="0.75" header="0.3" footer="0.3"/>
  <pageSetup scale="26" orientation="landscape" r:id="rId1"/>
  <headerFooter>
    <oddHeader>&amp;RCompliance Filing Attachment 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2F775-1B7F-48FE-A917-B482B02A723D}">
  <sheetPr>
    <tabColor rgb="FF92D050"/>
    <pageSetUpPr fitToPage="1"/>
  </sheetPr>
  <dimension ref="A1:Q76"/>
  <sheetViews>
    <sheetView zoomScaleNormal="100" workbookViewId="0">
      <selection sqref="A1:K1"/>
    </sheetView>
  </sheetViews>
  <sheetFormatPr defaultRowHeight="15"/>
  <cols>
    <col min="1" max="1" width="8.88671875" style="901" customWidth="1"/>
    <col min="2" max="2" width="41.21875" customWidth="1"/>
    <col min="3" max="3" width="23.6640625" customWidth="1"/>
    <col min="4" max="4" width="14.21875" bestFit="1" customWidth="1"/>
    <col min="5" max="6" width="16.21875" bestFit="1" customWidth="1"/>
    <col min="7" max="7" width="14.88671875" bestFit="1" customWidth="1"/>
    <col min="8" max="8" width="14.21875" bestFit="1" customWidth="1"/>
    <col min="9" max="9" width="14.88671875" bestFit="1" customWidth="1"/>
    <col min="10" max="10" width="14.6640625" customWidth="1"/>
    <col min="11" max="11" width="14.88671875" bestFit="1" customWidth="1"/>
    <col min="12" max="12" width="14.44140625" customWidth="1"/>
    <col min="13" max="13" width="14.88671875" bestFit="1" customWidth="1"/>
    <col min="14" max="14" width="14" bestFit="1" customWidth="1"/>
    <col min="15" max="16" width="15.88671875" customWidth="1"/>
    <col min="17" max="17" width="15.21875" customWidth="1"/>
  </cols>
  <sheetData>
    <row r="1" spans="1:17" ht="15.75">
      <c r="A1" s="974" t="s">
        <v>604</v>
      </c>
      <c r="B1" s="974"/>
      <c r="C1" s="974"/>
      <c r="D1" s="974"/>
      <c r="E1" s="974"/>
      <c r="F1" s="974"/>
      <c r="G1" s="974"/>
      <c r="H1" s="974"/>
      <c r="I1" s="974"/>
      <c r="J1" s="974"/>
      <c r="K1" s="974"/>
      <c r="L1" s="934"/>
      <c r="M1" s="934"/>
      <c r="N1" s="934"/>
      <c r="O1" s="934"/>
      <c r="P1" s="934"/>
      <c r="Q1" s="934"/>
    </row>
    <row r="2" spans="1:17" ht="15.75">
      <c r="A2" s="974" t="s">
        <v>683</v>
      </c>
      <c r="B2" s="974"/>
      <c r="C2" s="974"/>
      <c r="D2" s="974"/>
      <c r="E2" s="974"/>
      <c r="F2" s="974"/>
      <c r="G2" s="974"/>
      <c r="H2" s="974"/>
      <c r="I2" s="974"/>
      <c r="J2" s="974"/>
      <c r="K2" s="974"/>
      <c r="L2" s="934"/>
      <c r="M2" s="934"/>
      <c r="N2" s="934"/>
      <c r="O2" s="934"/>
      <c r="P2" s="934"/>
      <c r="Q2" s="934"/>
    </row>
    <row r="3" spans="1:17" ht="15.75">
      <c r="A3" s="974" t="str">
        <f>'Appendix A'!$D$9</f>
        <v>HURLEY AVENUE PROJECT - SYSTEM DELIVERABILITY UPGRADE</v>
      </c>
      <c r="B3" s="974"/>
      <c r="C3" s="974"/>
      <c r="D3" s="974"/>
      <c r="E3" s="974"/>
      <c r="F3" s="974"/>
      <c r="G3" s="974"/>
      <c r="H3" s="974"/>
      <c r="I3" s="974"/>
      <c r="J3" s="974"/>
      <c r="K3" s="974"/>
      <c r="L3" s="934"/>
      <c r="M3" s="934"/>
      <c r="N3" s="934"/>
      <c r="O3" s="934"/>
      <c r="P3" s="934"/>
      <c r="Q3" s="934"/>
    </row>
    <row r="5" spans="1:17" ht="20.25">
      <c r="A5" s="902"/>
      <c r="I5" s="903"/>
    </row>
    <row r="6" spans="1:17" ht="15.75">
      <c r="B6" s="791"/>
      <c r="C6" s="791"/>
      <c r="D6" s="791"/>
      <c r="E6" s="791"/>
      <c r="F6" s="791"/>
      <c r="G6" s="791"/>
      <c r="H6" s="791"/>
      <c r="I6" s="791"/>
      <c r="J6" s="904"/>
      <c r="K6" s="904"/>
      <c r="L6" s="904"/>
      <c r="M6" s="904"/>
      <c r="N6" s="904"/>
      <c r="O6" s="904"/>
    </row>
    <row r="7" spans="1:17">
      <c r="A7" s="905"/>
      <c r="B7" s="792"/>
      <c r="C7" s="906"/>
      <c r="D7" s="906"/>
      <c r="E7" s="906"/>
      <c r="F7" s="906"/>
      <c r="G7" s="906"/>
      <c r="H7" s="906"/>
      <c r="I7" s="906"/>
      <c r="J7" s="906"/>
      <c r="K7" s="906"/>
      <c r="L7" s="906"/>
      <c r="M7" s="906"/>
      <c r="N7" s="906"/>
      <c r="O7" s="906"/>
    </row>
    <row r="8" spans="1:17">
      <c r="A8" s="905"/>
      <c r="B8" s="792"/>
      <c r="C8" s="906"/>
      <c r="D8" s="906"/>
      <c r="E8" s="906"/>
      <c r="F8" s="906"/>
      <c r="G8" s="906"/>
      <c r="H8" s="906"/>
      <c r="I8" s="906"/>
      <c r="J8" s="906"/>
      <c r="K8" s="906"/>
      <c r="L8" s="906"/>
      <c r="M8" s="906"/>
      <c r="N8" s="906"/>
      <c r="O8" s="906"/>
    </row>
    <row r="9" spans="1:17" ht="15.75">
      <c r="A9" s="907"/>
      <c r="B9" s="908"/>
      <c r="C9" s="909"/>
      <c r="D9" s="909"/>
      <c r="E9" s="906"/>
      <c r="F9" s="906"/>
      <c r="G9" s="906"/>
      <c r="H9" s="906"/>
      <c r="I9" s="906"/>
      <c r="J9" s="906"/>
      <c r="K9" s="906"/>
      <c r="L9" s="906"/>
      <c r="M9" s="906"/>
      <c r="N9" s="906"/>
      <c r="O9" s="906"/>
    </row>
    <row r="10" spans="1:17">
      <c r="A10" s="907"/>
      <c r="B10" s="794"/>
      <c r="C10" s="794"/>
      <c r="D10" s="794"/>
      <c r="E10" s="906"/>
      <c r="F10" s="906"/>
      <c r="G10" s="906"/>
      <c r="H10" s="906"/>
      <c r="I10" s="906"/>
      <c r="J10" s="906"/>
      <c r="K10" s="906"/>
      <c r="L10" s="906"/>
      <c r="M10" s="906"/>
      <c r="N10" s="906"/>
      <c r="O10" s="906"/>
    </row>
    <row r="11" spans="1:17">
      <c r="A11" s="907"/>
      <c r="B11" s="910"/>
      <c r="C11" s="798"/>
      <c r="D11" s="798"/>
      <c r="E11" s="798"/>
      <c r="F11" s="798"/>
      <c r="G11" s="798"/>
      <c r="H11" s="911"/>
      <c r="I11" s="798"/>
      <c r="J11" s="912"/>
      <c r="K11" s="798"/>
      <c r="L11" s="798"/>
      <c r="M11" s="798"/>
      <c r="N11" s="798"/>
      <c r="O11" s="798"/>
    </row>
    <row r="12" spans="1:17">
      <c r="A12" s="907"/>
      <c r="B12" s="910"/>
      <c r="C12" s="797"/>
      <c r="D12" s="798"/>
      <c r="E12" s="798"/>
      <c r="F12" s="797"/>
      <c r="G12" s="798"/>
      <c r="H12" s="911"/>
      <c r="I12" s="798"/>
      <c r="J12" s="913"/>
      <c r="K12" s="797"/>
      <c r="L12" s="605"/>
      <c r="M12" s="798"/>
      <c r="N12" s="605"/>
      <c r="O12" s="798"/>
    </row>
    <row r="13" spans="1:17">
      <c r="A13" s="907"/>
      <c r="B13" s="910"/>
      <c r="C13" s="797"/>
      <c r="D13" s="798"/>
      <c r="E13" s="798"/>
      <c r="F13" s="797"/>
      <c r="G13" s="798"/>
      <c r="H13" s="911"/>
      <c r="I13" s="798"/>
      <c r="J13" s="912"/>
      <c r="K13" s="797"/>
      <c r="L13" s="605"/>
      <c r="M13" s="798"/>
      <c r="N13" s="605"/>
      <c r="O13" s="798"/>
    </row>
    <row r="14" spans="1:17">
      <c r="A14" s="907"/>
      <c r="B14" s="910"/>
      <c r="C14" s="797"/>
      <c r="D14" s="798"/>
      <c r="E14" s="798"/>
      <c r="F14" s="797"/>
      <c r="G14" s="798"/>
      <c r="H14" s="911"/>
      <c r="I14" s="798"/>
      <c r="J14" s="913"/>
      <c r="K14" s="797"/>
      <c r="L14" s="605"/>
      <c r="M14" s="798"/>
      <c r="N14" s="605"/>
      <c r="O14" s="798"/>
    </row>
    <row r="15" spans="1:17">
      <c r="A15" s="907"/>
      <c r="B15" s="910"/>
      <c r="C15" s="914"/>
      <c r="D15" s="795"/>
      <c r="E15" s="795"/>
      <c r="F15" s="914"/>
      <c r="G15" s="795"/>
      <c r="H15" s="911"/>
      <c r="I15" s="795"/>
      <c r="J15" s="912"/>
      <c r="K15" s="914"/>
      <c r="L15" s="915"/>
      <c r="M15" s="795"/>
      <c r="N15" s="915"/>
      <c r="O15" s="798"/>
    </row>
    <row r="16" spans="1:17">
      <c r="A16" s="907"/>
      <c r="B16" s="916"/>
      <c r="C16" s="797"/>
      <c r="D16" s="797"/>
      <c r="E16" s="797"/>
      <c r="F16" s="797"/>
      <c r="G16" s="797"/>
      <c r="H16" s="900"/>
      <c r="I16" s="797"/>
      <c r="J16" s="797"/>
      <c r="K16" s="797"/>
      <c r="L16" s="797"/>
      <c r="M16" s="797"/>
      <c r="N16" s="797"/>
      <c r="O16" s="797"/>
    </row>
    <row r="17" spans="1:15" ht="17.25">
      <c r="A17" s="907"/>
      <c r="B17" s="917"/>
      <c r="C17" s="899"/>
      <c r="D17" s="899"/>
      <c r="E17" s="899"/>
      <c r="F17" s="899"/>
      <c r="G17" s="899"/>
      <c r="H17" s="900"/>
      <c r="I17" s="914"/>
      <c r="J17" s="914"/>
      <c r="K17" s="914"/>
      <c r="L17" s="914"/>
      <c r="M17" s="914"/>
      <c r="N17" s="914"/>
      <c r="O17" s="914"/>
    </row>
    <row r="18" spans="1:15" ht="24.75" customHeight="1">
      <c r="A18" s="907"/>
      <c r="B18" s="916"/>
      <c r="C18" s="899"/>
      <c r="D18" s="899"/>
      <c r="E18" s="899"/>
      <c r="F18" s="899"/>
      <c r="G18" s="899"/>
      <c r="H18" s="900"/>
      <c r="I18" s="914"/>
      <c r="J18" s="914"/>
      <c r="K18" s="914"/>
      <c r="L18" s="914"/>
      <c r="M18" s="914"/>
      <c r="N18" s="914"/>
      <c r="O18" s="914"/>
    </row>
    <row r="19" spans="1:15">
      <c r="A19" s="907"/>
      <c r="B19" s="794"/>
      <c r="C19" s="797"/>
      <c r="D19" s="798"/>
      <c r="E19" s="798"/>
      <c r="F19" s="797"/>
      <c r="G19" s="798"/>
      <c r="H19" s="911"/>
      <c r="I19" s="798"/>
      <c r="J19" s="913"/>
      <c r="K19" s="797"/>
      <c r="L19" s="605"/>
      <c r="M19" s="605"/>
      <c r="N19" s="605"/>
      <c r="O19" s="605"/>
    </row>
    <row r="20" spans="1:15">
      <c r="A20" s="907"/>
      <c r="B20" s="794"/>
      <c r="C20" s="797"/>
      <c r="D20" s="798"/>
      <c r="E20" s="798"/>
      <c r="F20" s="797"/>
      <c r="G20" s="798"/>
      <c r="H20" s="911"/>
      <c r="I20" s="798"/>
      <c r="J20" s="797"/>
      <c r="K20" s="797"/>
      <c r="L20" s="605"/>
      <c r="M20" s="605"/>
      <c r="N20" s="605"/>
      <c r="O20" s="605"/>
    </row>
    <row r="21" spans="1:15">
      <c r="A21" s="907"/>
      <c r="B21" s="794"/>
      <c r="C21" s="797"/>
      <c r="D21" s="798"/>
      <c r="E21" s="798"/>
      <c r="F21" s="797"/>
      <c r="G21" s="798"/>
      <c r="H21" s="911"/>
      <c r="I21" s="798"/>
      <c r="J21" s="797"/>
      <c r="K21" s="797"/>
      <c r="L21" s="605"/>
      <c r="M21" s="605"/>
      <c r="N21" s="605"/>
      <c r="O21" s="605"/>
    </row>
    <row r="22" spans="1:15">
      <c r="A22" s="907"/>
      <c r="B22" s="794"/>
      <c r="C22" s="914"/>
      <c r="D22" s="795"/>
      <c r="E22" s="795"/>
      <c r="F22" s="914"/>
      <c r="G22" s="795"/>
      <c r="H22" s="911"/>
      <c r="I22" s="914"/>
      <c r="J22" s="797"/>
      <c r="K22" s="914"/>
      <c r="L22" s="915"/>
      <c r="M22" s="915"/>
      <c r="N22" s="915"/>
      <c r="O22" s="915"/>
    </row>
    <row r="23" spans="1:15">
      <c r="A23" s="907"/>
      <c r="B23" s="918"/>
      <c r="C23" s="797"/>
      <c r="D23" s="797"/>
      <c r="E23" s="797"/>
      <c r="F23" s="797"/>
      <c r="G23" s="797"/>
      <c r="H23" s="911"/>
      <c r="I23" s="797"/>
      <c r="J23" s="797"/>
      <c r="K23" s="797"/>
      <c r="L23" s="797"/>
      <c r="M23" s="797"/>
      <c r="N23" s="797"/>
      <c r="O23" s="797"/>
    </row>
    <row r="24" spans="1:15">
      <c r="A24" s="907"/>
      <c r="B24" s="918"/>
      <c r="C24" s="797"/>
      <c r="D24" s="797"/>
      <c r="E24" s="797"/>
      <c r="F24" s="797"/>
      <c r="G24" s="797"/>
      <c r="H24" s="911"/>
      <c r="I24" s="797"/>
      <c r="J24" s="797"/>
      <c r="K24" s="797"/>
      <c r="L24" s="605"/>
      <c r="M24" s="605"/>
      <c r="N24" s="605"/>
      <c r="O24" s="605"/>
    </row>
    <row r="25" spans="1:15">
      <c r="A25" s="907"/>
      <c r="B25" s="918"/>
      <c r="C25" s="797"/>
      <c r="D25" s="797"/>
      <c r="E25" s="797"/>
      <c r="F25" s="797"/>
      <c r="G25" s="797"/>
      <c r="H25" s="911"/>
      <c r="I25" s="797"/>
      <c r="J25" s="797"/>
      <c r="K25" s="797"/>
      <c r="L25" s="605"/>
      <c r="M25" s="605"/>
      <c r="N25" s="605"/>
      <c r="O25" s="605"/>
    </row>
    <row r="26" spans="1:15">
      <c r="A26" s="907"/>
      <c r="B26" s="918"/>
      <c r="C26" s="797"/>
      <c r="D26" s="798"/>
      <c r="E26" s="798"/>
      <c r="F26" s="797"/>
      <c r="G26" s="798"/>
      <c r="H26" s="911"/>
      <c r="I26" s="798"/>
      <c r="J26" s="797"/>
      <c r="K26" s="797"/>
      <c r="L26" s="605"/>
      <c r="M26" s="605"/>
      <c r="N26" s="605"/>
      <c r="O26" s="605"/>
    </row>
    <row r="27" spans="1:15">
      <c r="A27" s="907"/>
      <c r="B27" s="918"/>
      <c r="C27" s="797"/>
      <c r="D27" s="798"/>
      <c r="E27" s="798"/>
      <c r="F27" s="797"/>
      <c r="G27" s="798"/>
      <c r="H27" s="911"/>
      <c r="I27" s="798"/>
      <c r="J27" s="797"/>
      <c r="K27" s="797"/>
      <c r="L27" s="605"/>
      <c r="M27" s="605"/>
      <c r="N27" s="605"/>
      <c r="O27" s="605"/>
    </row>
    <row r="28" spans="1:15">
      <c r="A28" s="907"/>
      <c r="B28" s="918"/>
      <c r="C28" s="797"/>
      <c r="D28" s="798"/>
      <c r="E28" s="798"/>
      <c r="F28" s="797"/>
      <c r="G28" s="798"/>
      <c r="H28" s="911"/>
      <c r="I28" s="798"/>
      <c r="J28" s="797"/>
      <c r="K28" s="797"/>
      <c r="L28" s="605"/>
      <c r="M28" s="605"/>
      <c r="N28" s="605"/>
      <c r="O28" s="605"/>
    </row>
    <row r="29" spans="1:15">
      <c r="A29" s="907"/>
      <c r="B29" s="918"/>
      <c r="C29" s="797"/>
      <c r="D29" s="798"/>
      <c r="E29" s="798"/>
      <c r="F29" s="797"/>
      <c r="G29" s="798"/>
      <c r="H29" s="911"/>
      <c r="I29" s="798"/>
      <c r="J29" s="797"/>
      <c r="K29" s="797"/>
      <c r="L29" s="605"/>
      <c r="M29" s="605"/>
      <c r="N29" s="605"/>
      <c r="O29" s="605"/>
    </row>
    <row r="30" spans="1:15">
      <c r="A30" s="907"/>
      <c r="B30" s="918"/>
      <c r="C30" s="797"/>
      <c r="D30" s="795"/>
      <c r="E30" s="798"/>
      <c r="F30" s="797"/>
      <c r="G30" s="795"/>
      <c r="H30" s="911"/>
      <c r="I30" s="795"/>
      <c r="J30" s="797"/>
      <c r="K30" s="914"/>
      <c r="L30" s="915"/>
      <c r="M30" s="915"/>
      <c r="N30" s="915"/>
      <c r="O30" s="605"/>
    </row>
    <row r="31" spans="1:15">
      <c r="A31" s="907"/>
      <c r="B31" s="918"/>
      <c r="C31" s="797"/>
      <c r="D31" s="797"/>
      <c r="E31" s="797"/>
      <c r="F31" s="797"/>
      <c r="G31" s="797"/>
      <c r="H31" s="900"/>
      <c r="I31" s="797"/>
      <c r="J31" s="797"/>
      <c r="K31" s="797"/>
      <c r="L31" s="797"/>
      <c r="M31" s="797"/>
      <c r="N31" s="797"/>
      <c r="O31" s="797"/>
    </row>
    <row r="32" spans="1:15">
      <c r="A32" s="907"/>
      <c r="B32" s="918"/>
      <c r="C32" s="918"/>
      <c r="D32" s="918"/>
      <c r="E32" s="797"/>
      <c r="F32" s="797"/>
      <c r="G32" s="797"/>
      <c r="H32" s="900"/>
      <c r="I32" s="797"/>
      <c r="J32" s="797"/>
      <c r="K32" s="797"/>
      <c r="L32" s="605"/>
      <c r="M32" s="605"/>
      <c r="N32" s="605"/>
      <c r="O32" s="605"/>
    </row>
    <row r="33" spans="1:15">
      <c r="A33" s="907"/>
      <c r="B33" s="918"/>
      <c r="C33" s="918"/>
      <c r="D33" s="918"/>
      <c r="E33" s="797"/>
      <c r="F33" s="797"/>
      <c r="G33" s="797"/>
      <c r="H33" s="900"/>
      <c r="I33" s="797"/>
      <c r="J33" s="797"/>
      <c r="K33" s="797"/>
      <c r="L33" s="797"/>
      <c r="M33" s="797"/>
      <c r="N33" s="797"/>
      <c r="O33" s="797"/>
    </row>
    <row r="34" spans="1:15">
      <c r="A34" s="907"/>
      <c r="B34" s="918"/>
      <c r="C34" s="918"/>
      <c r="D34" s="918"/>
      <c r="E34" s="914"/>
      <c r="F34" s="914"/>
      <c r="G34" s="914"/>
      <c r="H34" s="900"/>
      <c r="I34" s="914"/>
      <c r="J34" s="797"/>
      <c r="K34" s="914"/>
      <c r="L34" s="914"/>
      <c r="M34" s="605"/>
      <c r="N34" s="914"/>
      <c r="O34" s="605"/>
    </row>
    <row r="35" spans="1:15">
      <c r="A35" s="907"/>
      <c r="B35" s="918"/>
      <c r="C35" s="918"/>
      <c r="D35" s="918"/>
      <c r="E35" s="797"/>
      <c r="F35" s="914"/>
      <c r="G35" s="797"/>
      <c r="H35" s="900"/>
      <c r="I35" s="797"/>
      <c r="J35" s="797"/>
      <c r="K35" s="797"/>
      <c r="L35" s="797"/>
      <c r="M35" s="605"/>
      <c r="N35" s="797"/>
      <c r="O35" s="605"/>
    </row>
    <row r="36" spans="1:15">
      <c r="A36" s="907"/>
      <c r="B36" s="918"/>
      <c r="C36" s="918"/>
      <c r="D36" s="918"/>
      <c r="E36" s="797"/>
      <c r="F36" s="797"/>
      <c r="G36" s="797"/>
      <c r="H36" s="900"/>
      <c r="I36" s="797"/>
      <c r="J36" s="797"/>
      <c r="K36" s="797"/>
      <c r="L36" s="605"/>
      <c r="M36" s="605"/>
      <c r="N36" s="605"/>
      <c r="O36" s="605"/>
    </row>
    <row r="37" spans="1:15">
      <c r="A37" s="907"/>
      <c r="B37" s="918"/>
      <c r="C37" s="918"/>
      <c r="D37" s="918"/>
      <c r="E37" s="797"/>
      <c r="F37" s="797"/>
      <c r="G37" s="797"/>
      <c r="H37" s="900"/>
      <c r="I37" s="797"/>
      <c r="J37" s="797"/>
      <c r="K37" s="797"/>
      <c r="L37" s="605"/>
      <c r="M37" s="605"/>
      <c r="N37" s="605"/>
      <c r="O37" s="605"/>
    </row>
    <row r="38" spans="1:15" ht="15.75">
      <c r="A38" s="907"/>
      <c r="B38" s="908"/>
      <c r="C38" s="908"/>
      <c r="D38" s="908"/>
      <c r="E38" s="797"/>
      <c r="F38" s="797"/>
      <c r="G38" s="797"/>
      <c r="H38" s="900"/>
      <c r="I38" s="797"/>
      <c r="J38" s="797"/>
      <c r="K38" s="797"/>
      <c r="L38" s="605"/>
      <c r="M38" s="605"/>
      <c r="N38" s="605"/>
      <c r="O38" s="605"/>
    </row>
    <row r="39" spans="1:15" ht="31.5" customHeight="1">
      <c r="A39" s="907"/>
      <c r="B39" s="916"/>
      <c r="C39" s="916"/>
      <c r="D39" s="916"/>
      <c r="E39" s="899"/>
      <c r="F39" s="899"/>
      <c r="G39" s="899"/>
      <c r="H39" s="900"/>
      <c r="I39" s="797"/>
      <c r="J39" s="797"/>
      <c r="K39" s="797"/>
      <c r="L39" s="605"/>
      <c r="M39" s="605"/>
      <c r="N39" s="605"/>
      <c r="O39" s="605"/>
    </row>
    <row r="40" spans="1:15">
      <c r="A40" s="907"/>
      <c r="B40" s="918"/>
      <c r="C40" s="797"/>
      <c r="D40" s="798"/>
      <c r="E40" s="798"/>
      <c r="F40" s="797"/>
      <c r="G40" s="797"/>
      <c r="H40" s="911"/>
      <c r="I40" s="798"/>
      <c r="J40" s="797"/>
      <c r="K40" s="797"/>
      <c r="L40" s="605"/>
      <c r="M40" s="797"/>
      <c r="N40" s="605"/>
      <c r="O40" s="797"/>
    </row>
    <row r="41" spans="1:15">
      <c r="A41" s="907"/>
      <c r="B41" s="918"/>
      <c r="C41" s="914"/>
      <c r="D41" s="795"/>
      <c r="E41" s="795"/>
      <c r="F41" s="914"/>
      <c r="G41" s="914"/>
      <c r="H41" s="911"/>
      <c r="I41" s="795"/>
      <c r="J41" s="797"/>
      <c r="K41" s="914"/>
      <c r="L41" s="915"/>
      <c r="M41" s="914"/>
      <c r="N41" s="915"/>
      <c r="O41" s="914"/>
    </row>
    <row r="42" spans="1:15">
      <c r="A42" s="907"/>
      <c r="B42" s="918"/>
      <c r="C42" s="797"/>
      <c r="D42" s="797"/>
      <c r="E42" s="797"/>
      <c r="F42" s="797"/>
      <c r="G42" s="797"/>
      <c r="H42" s="900"/>
      <c r="I42" s="797"/>
      <c r="J42" s="797"/>
      <c r="K42" s="797"/>
      <c r="L42" s="797"/>
      <c r="M42" s="797"/>
      <c r="N42" s="797"/>
      <c r="O42" s="797"/>
    </row>
    <row r="43" spans="1:15">
      <c r="A43" s="907"/>
      <c r="B43" s="918"/>
      <c r="C43" s="797"/>
      <c r="D43" s="797"/>
      <c r="E43" s="797"/>
      <c r="F43" s="797"/>
      <c r="G43" s="797"/>
      <c r="H43" s="900"/>
      <c r="I43" s="797"/>
      <c r="J43" s="797"/>
      <c r="K43" s="797"/>
      <c r="L43" s="605"/>
      <c r="M43" s="605"/>
      <c r="N43" s="605"/>
      <c r="O43" s="605"/>
    </row>
    <row r="44" spans="1:15">
      <c r="A44" s="907"/>
      <c r="B44" s="916"/>
      <c r="C44" s="797"/>
      <c r="D44" s="797"/>
      <c r="E44" s="797"/>
      <c r="F44" s="797"/>
      <c r="G44" s="797"/>
      <c r="H44" s="900"/>
      <c r="I44" s="797"/>
      <c r="J44" s="797"/>
      <c r="K44" s="797"/>
      <c r="L44" s="605"/>
      <c r="M44" s="605"/>
      <c r="N44" s="605"/>
      <c r="O44" s="605"/>
    </row>
    <row r="45" spans="1:15">
      <c r="A45" s="907"/>
      <c r="B45" s="919"/>
      <c r="C45" s="797"/>
      <c r="D45" s="798"/>
      <c r="E45" s="798"/>
      <c r="F45" s="797"/>
      <c r="G45" s="797"/>
      <c r="H45" s="911"/>
      <c r="I45" s="798"/>
      <c r="J45" s="913"/>
      <c r="K45" s="797"/>
      <c r="L45" s="605"/>
      <c r="M45" s="605"/>
      <c r="N45" s="605"/>
      <c r="O45" s="605"/>
    </row>
    <row r="46" spans="1:15">
      <c r="A46" s="907"/>
      <c r="B46" s="916"/>
      <c r="C46" s="797"/>
      <c r="D46" s="798"/>
      <c r="E46" s="798"/>
      <c r="F46" s="797"/>
      <c r="G46" s="797"/>
      <c r="H46" s="911"/>
      <c r="I46" s="798"/>
      <c r="J46" s="913"/>
      <c r="K46" s="797"/>
      <c r="L46" s="605"/>
      <c r="M46" s="605"/>
      <c r="N46" s="605"/>
      <c r="O46" s="605"/>
    </row>
    <row r="47" spans="1:15">
      <c r="A47" s="907"/>
      <c r="B47" s="916"/>
      <c r="C47" s="797"/>
      <c r="D47" s="798"/>
      <c r="E47" s="798"/>
      <c r="F47" s="797"/>
      <c r="G47" s="797"/>
      <c r="H47" s="911"/>
      <c r="I47" s="798"/>
      <c r="J47" s="913"/>
      <c r="K47" s="797"/>
      <c r="L47" s="605"/>
      <c r="M47" s="605"/>
      <c r="N47" s="605"/>
      <c r="O47" s="605"/>
    </row>
    <row r="48" spans="1:15">
      <c r="A48" s="907"/>
      <c r="B48" s="916"/>
      <c r="C48" s="797"/>
      <c r="D48" s="798"/>
      <c r="E48" s="798"/>
      <c r="F48" s="797"/>
      <c r="G48" s="797"/>
      <c r="H48" s="911"/>
      <c r="I48" s="798"/>
      <c r="J48" s="913"/>
      <c r="K48" s="797"/>
      <c r="L48" s="605"/>
      <c r="M48" s="605"/>
      <c r="N48" s="605"/>
      <c r="O48" s="605"/>
    </row>
    <row r="49" spans="1:15">
      <c r="A49" s="907"/>
      <c r="B49" s="916"/>
      <c r="C49" s="914"/>
      <c r="D49" s="795"/>
      <c r="E49" s="795"/>
      <c r="F49" s="914"/>
      <c r="G49" s="914"/>
      <c r="H49" s="911"/>
      <c r="I49" s="795"/>
      <c r="J49" s="913"/>
      <c r="K49" s="914"/>
      <c r="L49" s="915"/>
      <c r="M49" s="915"/>
      <c r="N49" s="915"/>
      <c r="O49" s="605"/>
    </row>
    <row r="50" spans="1:15">
      <c r="A50" s="907"/>
      <c r="B50" s="918"/>
      <c r="C50" s="797"/>
      <c r="D50" s="797"/>
      <c r="E50" s="797"/>
      <c r="F50" s="797"/>
      <c r="G50" s="797"/>
      <c r="H50" s="900"/>
      <c r="I50" s="797"/>
      <c r="J50" s="797"/>
      <c r="K50" s="797"/>
      <c r="L50" s="797"/>
      <c r="M50" s="797"/>
      <c r="N50" s="797"/>
      <c r="O50" s="797"/>
    </row>
    <row r="51" spans="1:15">
      <c r="A51" s="907"/>
      <c r="B51" s="918"/>
      <c r="C51" s="797"/>
      <c r="D51" s="797"/>
      <c r="E51" s="797"/>
      <c r="F51" s="797"/>
      <c r="G51" s="797"/>
      <c r="H51" s="900"/>
      <c r="I51" s="797"/>
      <c r="J51" s="797"/>
      <c r="K51" s="797"/>
      <c r="L51" s="605"/>
      <c r="M51" s="605"/>
      <c r="N51" s="605"/>
      <c r="O51" s="605"/>
    </row>
    <row r="52" spans="1:15">
      <c r="A52" s="907"/>
      <c r="B52" s="918"/>
      <c r="C52" s="797"/>
      <c r="D52" s="797"/>
      <c r="E52" s="797"/>
      <c r="F52" s="797"/>
      <c r="G52" s="797"/>
      <c r="H52" s="900"/>
      <c r="I52" s="797"/>
      <c r="J52" s="797"/>
      <c r="K52" s="797"/>
      <c r="L52" s="605"/>
      <c r="M52" s="605"/>
      <c r="N52" s="605"/>
      <c r="O52" s="605"/>
    </row>
    <row r="53" spans="1:15">
      <c r="A53" s="907"/>
      <c r="B53" s="916"/>
      <c r="C53" s="797"/>
      <c r="D53" s="798"/>
      <c r="E53" s="798"/>
      <c r="F53" s="797"/>
      <c r="G53" s="797"/>
      <c r="H53" s="911"/>
      <c r="I53" s="798"/>
      <c r="J53" s="913"/>
      <c r="K53" s="797"/>
      <c r="L53" s="605"/>
      <c r="M53" s="605"/>
      <c r="N53" s="605"/>
      <c r="O53" s="605"/>
    </row>
    <row r="54" spans="1:15">
      <c r="A54" s="907"/>
      <c r="B54" s="916"/>
      <c r="C54" s="797"/>
      <c r="D54" s="798"/>
      <c r="E54" s="798"/>
      <c r="F54" s="797"/>
      <c r="G54" s="797"/>
      <c r="H54" s="911"/>
      <c r="I54" s="798"/>
      <c r="J54" s="913"/>
      <c r="K54" s="797"/>
      <c r="L54" s="605"/>
      <c r="M54" s="605"/>
      <c r="N54" s="605"/>
      <c r="O54" s="605"/>
    </row>
    <row r="55" spans="1:15">
      <c r="A55" s="907"/>
      <c r="B55" s="916"/>
      <c r="C55" s="797"/>
      <c r="D55" s="798"/>
      <c r="E55" s="798"/>
      <c r="F55" s="797"/>
      <c r="G55" s="797"/>
      <c r="H55" s="911"/>
      <c r="I55" s="798"/>
      <c r="J55" s="913"/>
      <c r="K55" s="797"/>
      <c r="L55" s="605"/>
      <c r="M55" s="605"/>
      <c r="N55" s="605"/>
      <c r="O55" s="605"/>
    </row>
    <row r="56" spans="1:15">
      <c r="A56" s="907"/>
      <c r="B56" s="916"/>
      <c r="C56" s="797"/>
      <c r="D56" s="798"/>
      <c r="E56" s="798"/>
      <c r="F56" s="797"/>
      <c r="G56" s="797"/>
      <c r="H56" s="911"/>
      <c r="I56" s="798"/>
      <c r="J56" s="913"/>
      <c r="K56" s="797"/>
      <c r="L56" s="605"/>
      <c r="M56" s="605"/>
      <c r="N56" s="605"/>
      <c r="O56" s="605"/>
    </row>
    <row r="57" spans="1:15">
      <c r="A57" s="907"/>
      <c r="B57" s="916"/>
      <c r="C57" s="914"/>
      <c r="D57" s="795"/>
      <c r="E57" s="795"/>
      <c r="F57" s="914"/>
      <c r="G57" s="914"/>
      <c r="H57" s="911"/>
      <c r="I57" s="795"/>
      <c r="J57" s="913"/>
      <c r="K57" s="914"/>
      <c r="L57" s="915"/>
      <c r="M57" s="915"/>
      <c r="N57" s="915"/>
      <c r="O57" s="605"/>
    </row>
    <row r="58" spans="1:15">
      <c r="A58" s="907"/>
      <c r="B58" s="794"/>
      <c r="C58" s="797"/>
      <c r="D58" s="797"/>
      <c r="E58" s="797"/>
      <c r="F58" s="797"/>
      <c r="G58" s="797"/>
      <c r="H58" s="900"/>
      <c r="I58" s="797"/>
      <c r="J58" s="797"/>
      <c r="K58" s="797"/>
      <c r="L58" s="797"/>
      <c r="M58" s="797"/>
      <c r="N58" s="797"/>
      <c r="O58" s="797"/>
    </row>
    <row r="59" spans="1:15" ht="17.25">
      <c r="A59" s="907"/>
      <c r="B59" s="794"/>
      <c r="C59" s="794"/>
      <c r="D59" s="794"/>
      <c r="E59" s="899"/>
      <c r="F59" s="899"/>
      <c r="G59" s="899"/>
      <c r="H59" s="900"/>
      <c r="I59" s="899"/>
      <c r="J59" s="899"/>
      <c r="K59" s="899"/>
      <c r="L59" s="899"/>
      <c r="M59" s="899"/>
      <c r="N59" s="899"/>
      <c r="O59" s="899"/>
    </row>
    <row r="60" spans="1:15" ht="17.25">
      <c r="A60" s="907"/>
      <c r="B60" s="918"/>
      <c r="C60" s="918"/>
      <c r="D60" s="918"/>
      <c r="E60" s="797"/>
      <c r="F60" s="797"/>
      <c r="G60" s="797"/>
      <c r="H60" s="900"/>
      <c r="I60" s="797"/>
      <c r="J60" s="899"/>
      <c r="K60" s="797"/>
      <c r="L60" s="797"/>
      <c r="M60" s="797"/>
      <c r="N60" s="797"/>
      <c r="O60" s="797"/>
    </row>
    <row r="61" spans="1:15">
      <c r="A61" s="907"/>
      <c r="B61" s="918"/>
      <c r="C61" s="918"/>
      <c r="D61" s="918"/>
      <c r="E61" s="914"/>
      <c r="F61" s="914"/>
      <c r="G61" s="914"/>
      <c r="H61" s="900"/>
      <c r="I61" s="914"/>
      <c r="J61" s="797"/>
      <c r="K61" s="797"/>
      <c r="L61" s="914"/>
      <c r="M61" s="605"/>
      <c r="N61" s="914"/>
      <c r="O61" s="605"/>
    </row>
    <row r="62" spans="1:15">
      <c r="A62" s="907"/>
      <c r="B62" s="918"/>
      <c r="C62" s="918"/>
      <c r="D62" s="918"/>
      <c r="E62" s="795"/>
      <c r="F62" s="798"/>
      <c r="G62" s="795"/>
      <c r="H62" s="900"/>
      <c r="I62" s="795"/>
      <c r="J62" s="798"/>
      <c r="K62" s="798"/>
      <c r="L62" s="795"/>
      <c r="M62" s="798"/>
      <c r="N62" s="795"/>
      <c r="O62" s="798"/>
    </row>
    <row r="63" spans="1:15">
      <c r="A63" s="907"/>
      <c r="B63" s="918"/>
      <c r="C63" s="918"/>
      <c r="D63" s="918"/>
      <c r="E63" s="798"/>
      <c r="F63" s="798"/>
      <c r="G63" s="798"/>
      <c r="H63" s="900"/>
      <c r="I63" s="798"/>
      <c r="J63" s="798"/>
      <c r="K63" s="798"/>
      <c r="L63" s="798"/>
      <c r="M63" s="798"/>
      <c r="N63" s="798"/>
      <c r="O63" s="798"/>
    </row>
    <row r="64" spans="1:15">
      <c r="A64" s="907"/>
      <c r="B64" s="918"/>
      <c r="C64" s="918"/>
      <c r="D64" s="918"/>
      <c r="E64" s="798"/>
      <c r="F64" s="798"/>
      <c r="G64" s="798"/>
      <c r="H64" s="900"/>
      <c r="I64" s="798"/>
      <c r="J64" s="798"/>
      <c r="K64" s="798"/>
      <c r="L64" s="798"/>
      <c r="M64" s="798"/>
      <c r="N64" s="798"/>
      <c r="O64" s="798"/>
    </row>
    <row r="65" spans="1:17">
      <c r="A65" s="907"/>
      <c r="B65" s="918"/>
      <c r="C65" s="918"/>
      <c r="D65" s="918"/>
      <c r="E65" s="798"/>
      <c r="F65" s="798"/>
      <c r="G65" s="798"/>
      <c r="H65" s="900"/>
      <c r="I65" s="798"/>
      <c r="J65" s="798"/>
      <c r="K65" s="798"/>
      <c r="L65" s="798"/>
      <c r="M65" s="798"/>
      <c r="N65" s="798"/>
      <c r="O65" s="798"/>
    </row>
    <row r="66" spans="1:17">
      <c r="A66" s="907"/>
      <c r="B66" s="794"/>
      <c r="C66" s="794"/>
      <c r="D66" s="794"/>
      <c r="E66" s="794"/>
      <c r="F66" s="794"/>
      <c r="G66" s="794"/>
      <c r="H66" s="794"/>
      <c r="I66" s="794"/>
      <c r="J66" s="794"/>
      <c r="K66" s="605"/>
      <c r="L66" s="794"/>
      <c r="M66" s="605"/>
      <c r="N66" s="794"/>
      <c r="O66" s="605"/>
    </row>
    <row r="67" spans="1:17">
      <c r="A67" s="907"/>
      <c r="B67" s="794"/>
      <c r="C67" s="794"/>
      <c r="D67" s="794"/>
      <c r="E67" s="794"/>
      <c r="F67" s="794"/>
      <c r="G67" s="794"/>
      <c r="H67" s="794"/>
      <c r="I67" s="794"/>
      <c r="J67" s="794"/>
      <c r="K67" s="794"/>
      <c r="L67" s="794"/>
      <c r="M67" s="794"/>
      <c r="N67" s="794"/>
      <c r="O67" s="794"/>
    </row>
    <row r="68" spans="1:17">
      <c r="A68" s="907"/>
      <c r="B68" s="794"/>
      <c r="C68" s="794"/>
      <c r="D68" s="794"/>
      <c r="E68" s="794"/>
      <c r="F68" s="794"/>
      <c r="G68" s="794"/>
      <c r="H68" s="794"/>
      <c r="I68" s="794"/>
      <c r="J68" s="794"/>
      <c r="K68" s="794"/>
      <c r="L68" s="794"/>
      <c r="M68" s="794"/>
      <c r="N68" s="794"/>
      <c r="O68" s="794"/>
    </row>
    <row r="69" spans="1:17" ht="15.75" customHeight="1">
      <c r="A69" s="907"/>
      <c r="B69" s="989"/>
      <c r="C69" s="989"/>
      <c r="D69" s="989"/>
      <c r="E69" s="989"/>
      <c r="F69" s="989"/>
      <c r="G69" s="989"/>
      <c r="H69" s="989"/>
      <c r="I69" s="989"/>
      <c r="J69" s="989"/>
      <c r="K69" s="989"/>
      <c r="L69" s="989"/>
      <c r="M69" s="989"/>
      <c r="N69" s="989"/>
      <c r="O69" s="989"/>
      <c r="P69" s="989"/>
      <c r="Q69" s="989"/>
    </row>
    <row r="70" spans="1:17">
      <c r="A70" s="907"/>
      <c r="B70" s="794"/>
      <c r="C70" s="794"/>
      <c r="D70" s="794"/>
      <c r="E70" s="794"/>
      <c r="K70" s="794"/>
      <c r="L70" s="794"/>
      <c r="M70" s="794"/>
      <c r="N70" s="794"/>
      <c r="O70" s="794"/>
    </row>
    <row r="71" spans="1:17">
      <c r="A71" s="907"/>
      <c r="B71" s="794"/>
      <c r="C71" s="794"/>
      <c r="D71" s="794"/>
      <c r="F71" s="794"/>
      <c r="G71" s="794"/>
      <c r="H71" s="794"/>
      <c r="I71" s="794"/>
      <c r="J71" s="920"/>
      <c r="K71" s="794"/>
      <c r="L71" s="794"/>
      <c r="M71" s="794"/>
      <c r="N71" s="794"/>
      <c r="O71" s="794"/>
    </row>
    <row r="72" spans="1:17">
      <c r="A72" s="907"/>
      <c r="B72" s="794"/>
      <c r="C72" s="794"/>
      <c r="D72" s="794"/>
      <c r="F72" s="794"/>
      <c r="G72" s="794"/>
      <c r="H72" s="794"/>
      <c r="I72" s="794"/>
      <c r="J72" s="920"/>
      <c r="K72" s="794"/>
      <c r="L72" s="794"/>
      <c r="M72" s="794"/>
      <c r="N72" s="794"/>
      <c r="O72" s="794"/>
    </row>
    <row r="73" spans="1:17">
      <c r="A73" s="921"/>
      <c r="F73" s="794"/>
      <c r="G73" s="794"/>
      <c r="H73" s="794"/>
      <c r="I73" s="794"/>
      <c r="J73" s="920"/>
    </row>
    <row r="74" spans="1:17">
      <c r="B74" s="832"/>
    </row>
    <row r="75" spans="1:17">
      <c r="B75" s="832"/>
    </row>
    <row r="76" spans="1:17">
      <c r="B76" s="832"/>
    </row>
  </sheetData>
  <mergeCells count="4">
    <mergeCell ref="B69:Q69"/>
    <mergeCell ref="A1:K1"/>
    <mergeCell ref="A2:K2"/>
    <mergeCell ref="A3:K3"/>
  </mergeCells>
  <pageMargins left="0.7" right="0.7" top="0.75" bottom="0.75" header="0.3" footer="0.3"/>
  <pageSetup scale="10" orientation="landscape" r:id="rId1"/>
  <headerFooter>
    <oddHeader>&amp;CCompliance Filing Attachment 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5F26B-E88D-4482-B271-B8D71287C13E}">
  <sheetPr>
    <tabColor rgb="FF92D050"/>
    <pageSetUpPr fitToPage="1"/>
  </sheetPr>
  <dimension ref="A1:U232"/>
  <sheetViews>
    <sheetView topLeftCell="C1" zoomScale="80" zoomScaleNormal="80" zoomScalePageLayoutView="40" workbookViewId="0">
      <selection sqref="A1:H1"/>
    </sheetView>
  </sheetViews>
  <sheetFormatPr defaultColWidth="8.88671875" defaultRowHeight="15"/>
  <cols>
    <col min="1" max="1" width="6.88671875" style="710" customWidth="1"/>
    <col min="2" max="2" width="51.44140625" style="257" customWidth="1"/>
    <col min="3" max="3" width="48.6640625" style="254" customWidth="1"/>
    <col min="4" max="4" width="22.21875" style="254" customWidth="1"/>
    <col min="5" max="5" width="20.21875" style="254" customWidth="1"/>
    <col min="6" max="6" width="16.6640625" style="254" customWidth="1"/>
    <col min="7" max="7" width="20.88671875" style="254" customWidth="1"/>
    <col min="8" max="8" width="114.6640625" style="254" bestFit="1" customWidth="1"/>
    <col min="9" max="16384" width="8.88671875" style="254"/>
  </cols>
  <sheetData>
    <row r="1" spans="1:21" ht="15.75">
      <c r="A1" s="994" t="s">
        <v>604</v>
      </c>
      <c r="B1" s="994"/>
      <c r="C1" s="994"/>
      <c r="D1" s="994"/>
      <c r="E1" s="994"/>
      <c r="F1" s="994"/>
      <c r="G1" s="994"/>
      <c r="H1" s="994"/>
    </row>
    <row r="2" spans="1:21" ht="18">
      <c r="B2" s="995" t="str">
        <f>+'Appendix A'!D9</f>
        <v>HURLEY AVENUE PROJECT - SYSTEM DELIVERABILITY UPGRADE</v>
      </c>
      <c r="C2" s="996"/>
      <c r="D2" s="996"/>
      <c r="E2" s="996"/>
      <c r="F2" s="996"/>
      <c r="G2" s="996"/>
      <c r="H2" s="996"/>
      <c r="I2" s="253"/>
      <c r="J2" s="253"/>
    </row>
    <row r="3" spans="1:21" ht="18">
      <c r="B3" s="995" t="s">
        <v>267</v>
      </c>
      <c r="C3" s="995"/>
      <c r="D3" s="995"/>
      <c r="E3" s="995"/>
      <c r="F3" s="995"/>
      <c r="G3" s="995"/>
      <c r="H3" s="995"/>
      <c r="I3" s="253"/>
      <c r="J3" s="253"/>
    </row>
    <row r="4" spans="1:21" ht="18">
      <c r="B4" s="991" t="s">
        <v>180</v>
      </c>
      <c r="C4" s="991"/>
      <c r="D4" s="991"/>
      <c r="E4" s="991"/>
      <c r="F4" s="991"/>
      <c r="G4" s="991"/>
      <c r="H4" s="991"/>
      <c r="I4" s="253"/>
      <c r="J4" s="253"/>
    </row>
    <row r="5" spans="1:21" ht="18">
      <c r="B5" s="285"/>
      <c r="C5" s="285"/>
      <c r="D5" s="285"/>
      <c r="E5" s="285"/>
      <c r="F5" s="285"/>
      <c r="G5" s="285"/>
      <c r="H5" s="285"/>
      <c r="I5" s="253"/>
      <c r="J5" s="253"/>
    </row>
    <row r="6" spans="1:21" ht="18">
      <c r="B6" s="300"/>
      <c r="C6" s="301"/>
      <c r="D6" s="285"/>
      <c r="E6" s="285"/>
      <c r="F6" s="301"/>
      <c r="G6" s="285"/>
      <c r="H6" s="301"/>
    </row>
    <row r="7" spans="1:21" ht="18">
      <c r="B7" s="300"/>
      <c r="C7" s="301"/>
      <c r="D7" s="280" t="s">
        <v>38</v>
      </c>
      <c r="E7" s="280" t="s">
        <v>240</v>
      </c>
      <c r="F7" s="280" t="s">
        <v>238</v>
      </c>
      <c r="G7" s="280" t="s">
        <v>35</v>
      </c>
      <c r="H7" s="301"/>
      <c r="U7" s="255"/>
    </row>
    <row r="8" spans="1:21" ht="18">
      <c r="B8" s="300" t="s">
        <v>205</v>
      </c>
      <c r="C8" s="301"/>
      <c r="D8" s="280" t="s">
        <v>241</v>
      </c>
      <c r="E8" s="280" t="s">
        <v>241</v>
      </c>
      <c r="F8" s="280" t="s">
        <v>241</v>
      </c>
      <c r="G8" s="280"/>
      <c r="H8" s="301"/>
      <c r="U8" s="255"/>
    </row>
    <row r="9" spans="1:21" ht="18">
      <c r="B9" s="340"/>
      <c r="C9" s="301" t="s">
        <v>652</v>
      </c>
      <c r="D9" s="301"/>
      <c r="E9" s="301"/>
      <c r="F9" s="301"/>
      <c r="G9" s="301"/>
      <c r="H9" s="301"/>
    </row>
    <row r="10" spans="1:21" ht="18">
      <c r="A10" s="710">
        <v>1</v>
      </c>
      <c r="B10" s="254"/>
      <c r="C10" s="301" t="s">
        <v>425</v>
      </c>
      <c r="D10" s="302">
        <f>+E69-E57</f>
        <v>0</v>
      </c>
      <c r="E10" s="302">
        <f>+F69-F57</f>
        <v>0</v>
      </c>
      <c r="F10" s="302">
        <f>+G69-G57</f>
        <v>0</v>
      </c>
      <c r="G10" s="302"/>
      <c r="H10" s="301" t="s">
        <v>243</v>
      </c>
    </row>
    <row r="11" spans="1:21" ht="18">
      <c r="A11" s="711">
        <f>+A10+1</f>
        <v>2</v>
      </c>
      <c r="B11" s="254"/>
      <c r="C11" s="301" t="s">
        <v>244</v>
      </c>
      <c r="D11" s="302">
        <f>+E98</f>
        <v>0</v>
      </c>
      <c r="E11" s="302">
        <f>+F98</f>
        <v>0</v>
      </c>
      <c r="F11" s="302">
        <f>+G98</f>
        <v>0</v>
      </c>
      <c r="G11" s="302"/>
      <c r="H11" s="301" t="s">
        <v>245</v>
      </c>
    </row>
    <row r="12" spans="1:21" ht="18">
      <c r="A12" s="711">
        <f t="shared" ref="A12:A20" si="0">+A11+1</f>
        <v>3</v>
      </c>
      <c r="B12" s="254"/>
      <c r="C12" s="301" t="s">
        <v>246</v>
      </c>
      <c r="D12" s="706">
        <f>E41</f>
        <v>0</v>
      </c>
      <c r="E12" s="706">
        <f>F41</f>
        <v>0</v>
      </c>
      <c r="F12" s="706">
        <f>G41</f>
        <v>0</v>
      </c>
      <c r="G12" s="302"/>
      <c r="H12" s="301" t="s">
        <v>247</v>
      </c>
    </row>
    <row r="13" spans="1:21" ht="18">
      <c r="A13" s="711">
        <f t="shared" si="0"/>
        <v>4</v>
      </c>
      <c r="B13" s="254"/>
      <c r="C13" s="301" t="s">
        <v>248</v>
      </c>
      <c r="D13" s="302">
        <f>SUM(D10:D12)</f>
        <v>0</v>
      </c>
      <c r="E13" s="302">
        <f>SUM(E10:E12)</f>
        <v>0</v>
      </c>
      <c r="F13" s="302">
        <f>SUM(F10:F12)</f>
        <v>0</v>
      </c>
      <c r="G13" s="302"/>
      <c r="H13" s="303"/>
    </row>
    <row r="14" spans="1:21" ht="18">
      <c r="A14" s="711">
        <f t="shared" si="0"/>
        <v>5</v>
      </c>
      <c r="B14" s="254"/>
      <c r="C14" s="301" t="s">
        <v>249</v>
      </c>
      <c r="D14" s="301"/>
      <c r="E14" s="301"/>
      <c r="F14" s="394">
        <f>+'Appendix A'!J232</f>
        <v>0</v>
      </c>
      <c r="G14" s="301"/>
      <c r="H14" s="301" t="s">
        <v>279</v>
      </c>
    </row>
    <row r="15" spans="1:21" ht="18">
      <c r="A15" s="711">
        <f t="shared" si="0"/>
        <v>6</v>
      </c>
      <c r="B15" s="254"/>
      <c r="C15" s="301" t="s">
        <v>530</v>
      </c>
      <c r="D15" s="301"/>
      <c r="E15" s="707">
        <f>+'Appendix A'!H82</f>
        <v>0</v>
      </c>
      <c r="F15" s="708"/>
      <c r="G15" s="301"/>
      <c r="H15" s="301" t="s">
        <v>279</v>
      </c>
    </row>
    <row r="16" spans="1:21" ht="18">
      <c r="A16" s="711">
        <f t="shared" si="0"/>
        <v>7</v>
      </c>
      <c r="B16" s="254"/>
      <c r="C16" s="301" t="s">
        <v>180</v>
      </c>
      <c r="D16" s="302">
        <f>+D13</f>
        <v>0</v>
      </c>
      <c r="E16" s="302">
        <f>+E13*E15</f>
        <v>0</v>
      </c>
      <c r="F16" s="302">
        <f>+F14*F13</f>
        <v>0</v>
      </c>
      <c r="G16" s="302">
        <f>+D16+E16+F16</f>
        <v>0</v>
      </c>
      <c r="H16" s="304"/>
    </row>
    <row r="17" spans="1:8" ht="18">
      <c r="A17" s="711">
        <f t="shared" si="0"/>
        <v>8</v>
      </c>
      <c r="B17" s="254"/>
      <c r="C17" s="301" t="s">
        <v>129</v>
      </c>
      <c r="D17" s="302">
        <f>+'6b - ADIT'!D16</f>
        <v>0</v>
      </c>
      <c r="E17" s="302">
        <f>+'6b - ADIT'!E16</f>
        <v>0</v>
      </c>
      <c r="F17" s="302">
        <f>+'6b - ADIT'!F16</f>
        <v>0</v>
      </c>
      <c r="G17" s="302">
        <f>+D17+E17+F17</f>
        <v>0</v>
      </c>
      <c r="H17" s="304" t="str">
        <f>"Attachment 6b, line "&amp;'6b - ADIT'!B16&amp;""</f>
        <v xml:space="preserve">Attachment 6b, line </v>
      </c>
    </row>
    <row r="18" spans="1:8" ht="18">
      <c r="A18" s="711">
        <f t="shared" si="0"/>
        <v>9</v>
      </c>
      <c r="B18" s="254"/>
      <c r="C18" s="301" t="s">
        <v>172</v>
      </c>
      <c r="D18" s="302">
        <f>+AVERAGE(D16:D17)</f>
        <v>0</v>
      </c>
      <c r="E18" s="302">
        <f t="shared" ref="E18:G18" si="1">+AVERAGE(E16:E17)</f>
        <v>0</v>
      </c>
      <c r="F18" s="302">
        <f t="shared" si="1"/>
        <v>0</v>
      </c>
      <c r="G18" s="302">
        <f t="shared" si="1"/>
        <v>0</v>
      </c>
    </row>
    <row r="19" spans="1:8" ht="18">
      <c r="A19" s="711">
        <f t="shared" si="0"/>
        <v>10</v>
      </c>
      <c r="B19" s="254"/>
      <c r="C19" s="301" t="s">
        <v>653</v>
      </c>
      <c r="D19" s="302"/>
      <c r="E19" s="302"/>
      <c r="F19" s="302"/>
      <c r="G19" s="859"/>
      <c r="H19" s="304" t="str">
        <f>"Attachment 6c, line "&amp;'6c - ADIT'!A24&amp;" or Attachment 6d, line "&amp;'6d - ADIT'!A26&amp;""</f>
        <v>Attachment 6c, line 14 or Attachment 6d, line 13</v>
      </c>
    </row>
    <row r="20" spans="1:8" ht="18">
      <c r="A20" s="711">
        <f t="shared" si="0"/>
        <v>11</v>
      </c>
      <c r="B20" s="301"/>
      <c r="C20" s="301" t="s">
        <v>654</v>
      </c>
      <c r="D20" s="303"/>
      <c r="E20" s="301"/>
      <c r="F20" s="301"/>
      <c r="G20" s="858">
        <f>+G18+G19</f>
        <v>0</v>
      </c>
      <c r="H20" s="304" t="str">
        <f>"Enter as negative Appendix A, line "&amp;'Appendix A'!A99&amp;"."</f>
        <v>Enter as negative Appendix A, line 21.</v>
      </c>
    </row>
    <row r="21" spans="1:8" ht="18">
      <c r="B21" s="301"/>
      <c r="C21" s="301"/>
      <c r="D21" s="301"/>
      <c r="E21" s="301"/>
      <c r="F21" s="301"/>
      <c r="G21" s="301"/>
      <c r="H21" s="305"/>
    </row>
    <row r="22" spans="1:8" ht="18">
      <c r="B22" s="300" t="s">
        <v>251</v>
      </c>
      <c r="C22" s="301"/>
      <c r="D22" s="301"/>
      <c r="E22" s="301"/>
      <c r="F22" s="301"/>
      <c r="G22" s="301"/>
      <c r="H22" s="301"/>
    </row>
    <row r="23" spans="1:8" ht="18">
      <c r="B23" s="300" t="s">
        <v>540</v>
      </c>
      <c r="C23" s="301"/>
      <c r="D23" s="301"/>
      <c r="E23" s="301"/>
      <c r="F23" s="301"/>
      <c r="G23" s="301"/>
      <c r="H23" s="301"/>
    </row>
    <row r="24" spans="1:8" ht="18">
      <c r="B24" s="285" t="s">
        <v>85</v>
      </c>
      <c r="C24" s="285" t="s">
        <v>86</v>
      </c>
      <c r="D24" s="285" t="s">
        <v>87</v>
      </c>
      <c r="E24" s="285" t="s">
        <v>88</v>
      </c>
      <c r="F24" s="255" t="s">
        <v>89</v>
      </c>
      <c r="G24" s="285" t="s">
        <v>90</v>
      </c>
      <c r="H24" s="285" t="s">
        <v>91</v>
      </c>
    </row>
    <row r="25" spans="1:8" ht="18">
      <c r="B25" s="300"/>
      <c r="C25" s="280" t="s">
        <v>35</v>
      </c>
      <c r="D25" s="280" t="s">
        <v>252</v>
      </c>
      <c r="E25" s="285"/>
      <c r="F25" s="285"/>
      <c r="G25" s="285"/>
      <c r="H25" s="301"/>
    </row>
    <row r="26" spans="1:8" ht="18">
      <c r="B26" s="300" t="s">
        <v>246</v>
      </c>
      <c r="C26" s="280"/>
      <c r="D26" s="280" t="s">
        <v>253</v>
      </c>
      <c r="E26" s="280" t="s">
        <v>38</v>
      </c>
      <c r="F26" s="280" t="s">
        <v>240</v>
      </c>
      <c r="G26" s="280" t="s">
        <v>238</v>
      </c>
      <c r="H26" s="301"/>
    </row>
    <row r="27" spans="1:8" ht="18">
      <c r="B27" s="300"/>
      <c r="C27" s="280"/>
      <c r="D27" s="280" t="s">
        <v>241</v>
      </c>
      <c r="E27" s="280" t="s">
        <v>241</v>
      </c>
      <c r="F27" s="280" t="s">
        <v>241</v>
      </c>
      <c r="G27" s="280" t="s">
        <v>241</v>
      </c>
      <c r="H27" s="285" t="s">
        <v>254</v>
      </c>
    </row>
    <row r="28" spans="1:8" ht="35.1" customHeight="1">
      <c r="A28" s="711">
        <f>+A20+1</f>
        <v>12</v>
      </c>
      <c r="B28" s="309" t="s">
        <v>541</v>
      </c>
      <c r="C28" s="264">
        <f>SUM(D28:G28)</f>
        <v>0</v>
      </c>
      <c r="D28" s="265"/>
      <c r="E28" s="265">
        <v>0</v>
      </c>
      <c r="F28" s="265"/>
      <c r="G28" s="265"/>
      <c r="H28" s="308" t="s">
        <v>599</v>
      </c>
    </row>
    <row r="29" spans="1:8" ht="35.1" customHeight="1">
      <c r="A29" s="711">
        <f>+A28+1</f>
        <v>13</v>
      </c>
      <c r="B29" s="309"/>
      <c r="C29" s="264">
        <f>SUM(D29:G29)</f>
        <v>0</v>
      </c>
      <c r="D29" s="265"/>
      <c r="E29" s="265">
        <v>0</v>
      </c>
      <c r="F29" s="265"/>
      <c r="G29" s="265"/>
      <c r="H29" s="308"/>
    </row>
    <row r="30" spans="1:8" ht="35.1" customHeight="1">
      <c r="A30" s="711">
        <f t="shared" ref="A30:A41" si="2">+A29+1</f>
        <v>14</v>
      </c>
      <c r="B30" s="309"/>
      <c r="C30" s="264">
        <f>SUM(D30:G30)</f>
        <v>0</v>
      </c>
      <c r="D30" s="265"/>
      <c r="E30" s="265"/>
      <c r="F30" s="265"/>
      <c r="G30" s="265"/>
      <c r="H30" s="308"/>
    </row>
    <row r="31" spans="1:8" ht="35.1" customHeight="1">
      <c r="A31" s="711">
        <f t="shared" si="2"/>
        <v>15</v>
      </c>
      <c r="B31" s="309"/>
      <c r="C31" s="264">
        <f>SUM(D31:G31)</f>
        <v>0</v>
      </c>
      <c r="D31" s="265"/>
      <c r="E31" s="265"/>
      <c r="F31" s="265"/>
      <c r="G31" s="265"/>
      <c r="H31" s="308"/>
    </row>
    <row r="32" spans="1:8" ht="35.1" customHeight="1">
      <c r="A32" s="711">
        <f t="shared" si="2"/>
        <v>16</v>
      </c>
      <c r="B32" s="309"/>
      <c r="C32" s="264">
        <f>SUM(D32:G32)</f>
        <v>0</v>
      </c>
      <c r="D32" s="265"/>
      <c r="E32" s="265"/>
      <c r="F32" s="265"/>
      <c r="G32" s="265"/>
      <c r="H32" s="308"/>
    </row>
    <row r="33" spans="1:8" ht="35.1" customHeight="1">
      <c r="A33" s="711">
        <f t="shared" si="2"/>
        <v>17</v>
      </c>
      <c r="B33" s="309"/>
      <c r="C33" s="306"/>
      <c r="D33" s="307"/>
      <c r="E33" s="307"/>
      <c r="F33" s="307"/>
      <c r="G33" s="307"/>
      <c r="H33" s="308"/>
    </row>
    <row r="34" spans="1:8" ht="35.1" customHeight="1">
      <c r="A34" s="711">
        <f t="shared" si="2"/>
        <v>18</v>
      </c>
      <c r="B34" s="309"/>
      <c r="C34" s="306"/>
      <c r="D34" s="307"/>
      <c r="E34" s="307"/>
      <c r="F34" s="307"/>
      <c r="G34" s="307"/>
      <c r="H34" s="308"/>
    </row>
    <row r="35" spans="1:8" ht="35.1" customHeight="1">
      <c r="A35" s="711">
        <f t="shared" si="2"/>
        <v>19</v>
      </c>
      <c r="B35" s="309"/>
      <c r="C35" s="306"/>
      <c r="D35" s="310"/>
      <c r="E35" s="307"/>
      <c r="F35" s="307"/>
      <c r="G35" s="307"/>
      <c r="H35" s="308"/>
    </row>
    <row r="36" spans="1:8" ht="35.1" customHeight="1">
      <c r="A36" s="711">
        <f t="shared" si="2"/>
        <v>20</v>
      </c>
      <c r="B36" s="309"/>
      <c r="C36" s="306"/>
      <c r="D36" s="307"/>
      <c r="E36" s="307"/>
      <c r="F36" s="307"/>
      <c r="G36" s="307"/>
      <c r="H36" s="308"/>
    </row>
    <row r="37" spans="1:8" ht="35.1" customHeight="1">
      <c r="A37" s="711">
        <f t="shared" si="2"/>
        <v>21</v>
      </c>
      <c r="B37" s="309"/>
      <c r="C37" s="306"/>
      <c r="D37" s="306"/>
      <c r="E37" s="306"/>
      <c r="F37" s="306"/>
      <c r="G37" s="306"/>
      <c r="H37" s="308"/>
    </row>
    <row r="38" spans="1:8" ht="35.1" customHeight="1">
      <c r="A38" s="711">
        <f t="shared" si="2"/>
        <v>22</v>
      </c>
      <c r="B38" s="327" t="s">
        <v>255</v>
      </c>
      <c r="C38" s="328">
        <f>SUBTOTAL(9,C28:C37)</f>
        <v>0</v>
      </c>
      <c r="D38" s="321">
        <f>SUM(D28:D37)</f>
        <v>0</v>
      </c>
      <c r="E38" s="321">
        <f>SUM(E28:E37)</f>
        <v>0</v>
      </c>
      <c r="F38" s="321">
        <f>SUM(F28:F37)</f>
        <v>0</v>
      </c>
      <c r="G38" s="321">
        <f>SUM(G28:G37)</f>
        <v>0</v>
      </c>
      <c r="H38" s="311"/>
    </row>
    <row r="39" spans="1:8" ht="35.1" customHeight="1">
      <c r="A39" s="711">
        <f t="shared" si="2"/>
        <v>23</v>
      </c>
      <c r="B39" s="329" t="s">
        <v>256</v>
      </c>
      <c r="C39" s="312">
        <f>SUM(D39:E39)</f>
        <v>0</v>
      </c>
      <c r="D39" s="312"/>
      <c r="E39" s="312"/>
      <c r="F39" s="313"/>
      <c r="G39" s="314"/>
      <c r="H39" s="308"/>
    </row>
    <row r="40" spans="1:8" ht="35.1" customHeight="1">
      <c r="A40" s="711">
        <f t="shared" si="2"/>
        <v>24</v>
      </c>
      <c r="B40" s="330" t="s">
        <v>257</v>
      </c>
      <c r="C40" s="312">
        <f>SUM(D40:E40)</f>
        <v>0</v>
      </c>
      <c r="D40" s="315"/>
      <c r="E40" s="315">
        <v>0</v>
      </c>
      <c r="F40" s="315"/>
      <c r="G40" s="315"/>
      <c r="H40" s="316"/>
    </row>
    <row r="41" spans="1:8" ht="35.1" customHeight="1" thickBot="1">
      <c r="A41" s="711">
        <f t="shared" si="2"/>
        <v>25</v>
      </c>
      <c r="B41" s="331" t="s">
        <v>35</v>
      </c>
      <c r="C41" s="332">
        <f>+SUM(D41:G41)</f>
        <v>0</v>
      </c>
      <c r="D41" s="332">
        <f>+D38-D39-D40</f>
        <v>0</v>
      </c>
      <c r="E41" s="332">
        <f>+E38-E39-E40</f>
        <v>0</v>
      </c>
      <c r="F41" s="332">
        <f>+F38-F39-F40</f>
        <v>0</v>
      </c>
      <c r="G41" s="332">
        <f>+G38-G39-G40</f>
        <v>0</v>
      </c>
      <c r="H41" s="333"/>
    </row>
    <row r="42" spans="1:8" ht="35.1" customHeight="1" thickTop="1">
      <c r="B42" s="301" t="s">
        <v>258</v>
      </c>
      <c r="C42" s="303"/>
      <c r="D42" s="322"/>
      <c r="E42" s="285"/>
      <c r="F42" s="301"/>
      <c r="G42" s="334"/>
      <c r="H42" s="301"/>
    </row>
    <row r="43" spans="1:8" ht="18">
      <c r="B43" s="993" t="s">
        <v>259</v>
      </c>
      <c r="C43" s="993"/>
      <c r="D43" s="993"/>
      <c r="E43" s="993"/>
      <c r="F43" s="993"/>
      <c r="G43" s="993"/>
      <c r="H43" s="301"/>
    </row>
    <row r="44" spans="1:8" ht="18">
      <c r="B44" s="300" t="s">
        <v>260</v>
      </c>
      <c r="C44" s="301"/>
      <c r="D44" s="301"/>
      <c r="E44" s="301"/>
      <c r="F44" s="285"/>
      <c r="G44" s="285"/>
      <c r="H44" s="301"/>
    </row>
    <row r="45" spans="1:8" ht="18">
      <c r="B45" s="300" t="s">
        <v>261</v>
      </c>
      <c r="C45" s="301"/>
      <c r="D45" s="301"/>
      <c r="E45" s="301"/>
      <c r="F45" s="285"/>
      <c r="G45" s="285"/>
      <c r="H45" s="301"/>
    </row>
    <row r="46" spans="1:8" ht="18">
      <c r="B46" s="300" t="s">
        <v>262</v>
      </c>
      <c r="C46" s="301"/>
      <c r="D46" s="301"/>
      <c r="E46" s="301"/>
      <c r="F46" s="285"/>
      <c r="G46" s="285"/>
      <c r="H46" s="301"/>
    </row>
    <row r="47" spans="1:8" ht="18">
      <c r="B47" s="993" t="s">
        <v>401</v>
      </c>
      <c r="C47" s="993"/>
      <c r="D47" s="993"/>
      <c r="E47" s="993"/>
      <c r="F47" s="993"/>
      <c r="G47" s="993"/>
      <c r="H47" s="317"/>
    </row>
    <row r="48" spans="1:8" ht="35.1" customHeight="1">
      <c r="B48" s="317"/>
      <c r="C48" s="317"/>
      <c r="D48" s="317"/>
      <c r="E48" s="317"/>
      <c r="F48" s="317"/>
      <c r="G48" s="317"/>
      <c r="H48" s="317"/>
    </row>
    <row r="49" spans="1:8" s="253" customFormat="1" ht="24.95" customHeight="1">
      <c r="A49" s="712"/>
      <c r="B49" s="991" t="str">
        <f>+B2</f>
        <v>HURLEY AVENUE PROJECT - SYSTEM DELIVERABILITY UPGRADE</v>
      </c>
      <c r="C49" s="992"/>
      <c r="D49" s="992"/>
      <c r="E49" s="992"/>
      <c r="F49" s="992"/>
      <c r="G49" s="992"/>
      <c r="H49" s="992"/>
    </row>
    <row r="50" spans="1:8" s="253" customFormat="1" ht="24.95" customHeight="1">
      <c r="A50" s="712"/>
      <c r="B50" s="991" t="s">
        <v>267</v>
      </c>
      <c r="C50" s="991"/>
      <c r="D50" s="991"/>
      <c r="E50" s="991"/>
      <c r="F50" s="991"/>
      <c r="G50" s="991"/>
      <c r="H50" s="991"/>
    </row>
    <row r="51" spans="1:8" s="253" customFormat="1" ht="24.95" customHeight="1">
      <c r="A51" s="712"/>
      <c r="B51" s="991" t="s">
        <v>180</v>
      </c>
      <c r="C51" s="991"/>
      <c r="D51" s="991"/>
      <c r="E51" s="991"/>
      <c r="F51" s="991"/>
      <c r="G51" s="991"/>
      <c r="H51" s="991"/>
    </row>
    <row r="52" spans="1:8" ht="24.95" customHeight="1">
      <c r="B52" s="301"/>
      <c r="C52" s="301"/>
      <c r="D52" s="301"/>
      <c r="E52" s="301"/>
      <c r="F52" s="301"/>
      <c r="G52" s="301"/>
      <c r="H52" s="301"/>
    </row>
    <row r="53" spans="1:8" ht="24.95" customHeight="1">
      <c r="B53" s="285" t="s">
        <v>85</v>
      </c>
      <c r="C53" s="285" t="s">
        <v>86</v>
      </c>
      <c r="D53" s="285" t="s">
        <v>87</v>
      </c>
      <c r="E53" s="285" t="s">
        <v>88</v>
      </c>
      <c r="F53" s="255" t="s">
        <v>89</v>
      </c>
      <c r="G53" s="285" t="s">
        <v>90</v>
      </c>
      <c r="H53" s="285" t="s">
        <v>91</v>
      </c>
    </row>
    <row r="54" spans="1:8" ht="24.95" customHeight="1">
      <c r="B54" s="301"/>
      <c r="C54" s="280" t="s">
        <v>35</v>
      </c>
      <c r="D54" s="280" t="s">
        <v>252</v>
      </c>
      <c r="E54" s="285"/>
      <c r="F54" s="285"/>
      <c r="G54" s="285"/>
      <c r="H54" s="301"/>
    </row>
    <row r="55" spans="1:8" ht="24.95" customHeight="1">
      <c r="B55" s="301" t="s">
        <v>242</v>
      </c>
      <c r="C55" s="280"/>
      <c r="D55" s="280" t="s">
        <v>253</v>
      </c>
      <c r="E55" s="280" t="s">
        <v>38</v>
      </c>
      <c r="F55" s="280" t="s">
        <v>240</v>
      </c>
      <c r="G55" s="280" t="s">
        <v>238</v>
      </c>
      <c r="H55" s="301"/>
    </row>
    <row r="56" spans="1:8" ht="24.95" customHeight="1">
      <c r="B56" s="300"/>
      <c r="C56" s="280"/>
      <c r="D56" s="280" t="s">
        <v>241</v>
      </c>
      <c r="E56" s="280" t="s">
        <v>241</v>
      </c>
      <c r="F56" s="280" t="s">
        <v>241</v>
      </c>
      <c r="G56" s="280" t="s">
        <v>241</v>
      </c>
      <c r="H56" s="285" t="s">
        <v>254</v>
      </c>
    </row>
    <row r="57" spans="1:8" ht="35.1" customHeight="1">
      <c r="A57" s="711">
        <f>+A41+1</f>
        <v>26</v>
      </c>
      <c r="B57" s="309" t="s">
        <v>431</v>
      </c>
      <c r="C57" s="264">
        <f>SUM(D57:G57)</f>
        <v>0</v>
      </c>
      <c r="D57" s="265"/>
      <c r="E57" s="265">
        <v>0</v>
      </c>
      <c r="F57" s="265"/>
      <c r="G57" s="265"/>
      <c r="H57" s="308" t="s">
        <v>598</v>
      </c>
    </row>
    <row r="58" spans="1:8" ht="35.1" customHeight="1">
      <c r="A58" s="711">
        <f>+A57+1</f>
        <v>27</v>
      </c>
      <c r="B58" s="309"/>
      <c r="C58" s="264"/>
      <c r="D58" s="265"/>
      <c r="E58" s="265"/>
      <c r="F58" s="265"/>
      <c r="G58" s="265"/>
      <c r="H58" s="308"/>
    </row>
    <row r="59" spans="1:8" ht="35.1" customHeight="1">
      <c r="A59" s="711">
        <f t="shared" ref="A59:A69" si="3">+A58+1</f>
        <v>28</v>
      </c>
      <c r="B59" s="309"/>
      <c r="C59" s="264"/>
      <c r="D59" s="265"/>
      <c r="E59" s="265"/>
      <c r="F59" s="265"/>
      <c r="G59" s="265"/>
      <c r="H59" s="308"/>
    </row>
    <row r="60" spans="1:8" ht="35.1" customHeight="1">
      <c r="A60" s="711">
        <f t="shared" si="3"/>
        <v>29</v>
      </c>
      <c r="B60" s="309"/>
      <c r="C60" s="264"/>
      <c r="D60" s="265"/>
      <c r="E60" s="265"/>
      <c r="F60" s="265"/>
      <c r="G60" s="265"/>
      <c r="H60" s="308"/>
    </row>
    <row r="61" spans="1:8" ht="35.1" customHeight="1">
      <c r="A61" s="711">
        <f t="shared" si="3"/>
        <v>30</v>
      </c>
      <c r="B61" s="309"/>
      <c r="C61" s="307"/>
      <c r="D61" s="307"/>
      <c r="E61" s="307"/>
      <c r="F61" s="307"/>
      <c r="G61" s="307"/>
      <c r="H61" s="308"/>
    </row>
    <row r="62" spans="1:8" ht="35.1" customHeight="1">
      <c r="A62" s="711">
        <f t="shared" si="3"/>
        <v>31</v>
      </c>
      <c r="B62" s="309"/>
      <c r="C62" s="307"/>
      <c r="D62" s="307"/>
      <c r="E62" s="307"/>
      <c r="F62" s="307"/>
      <c r="G62" s="307"/>
      <c r="H62" s="308"/>
    </row>
    <row r="63" spans="1:8" ht="35.1" customHeight="1">
      <c r="A63" s="711">
        <f t="shared" si="3"/>
        <v>32</v>
      </c>
      <c r="B63" s="318"/>
      <c r="C63" s="319"/>
      <c r="D63" s="319"/>
      <c r="E63" s="319"/>
      <c r="F63" s="319"/>
      <c r="G63" s="319"/>
      <c r="H63" s="308"/>
    </row>
    <row r="64" spans="1:8" ht="35.1" customHeight="1">
      <c r="A64" s="711">
        <f t="shared" si="3"/>
        <v>33</v>
      </c>
      <c r="B64" s="320"/>
      <c r="C64" s="319"/>
      <c r="D64" s="319"/>
      <c r="E64" s="319"/>
      <c r="F64" s="319"/>
      <c r="G64" s="319"/>
      <c r="H64" s="308"/>
    </row>
    <row r="65" spans="1:8" ht="35.1" customHeight="1">
      <c r="A65" s="711">
        <f t="shared" si="3"/>
        <v>34</v>
      </c>
      <c r="B65" s="320"/>
      <c r="C65" s="319"/>
      <c r="D65" s="319"/>
      <c r="E65" s="319"/>
      <c r="F65" s="319"/>
      <c r="G65" s="319"/>
      <c r="H65" s="308"/>
    </row>
    <row r="66" spans="1:8" ht="35.1" customHeight="1">
      <c r="A66" s="711">
        <f t="shared" si="3"/>
        <v>35</v>
      </c>
      <c r="B66" s="335" t="s">
        <v>263</v>
      </c>
      <c r="C66" s="321">
        <f>SUBTOTAL(9,C57:C65)</f>
        <v>0</v>
      </c>
      <c r="D66" s="321">
        <f>SUM(D57:D65)</f>
        <v>0</v>
      </c>
      <c r="E66" s="321">
        <f>SUM(E57:E65)</f>
        <v>0</v>
      </c>
      <c r="F66" s="321">
        <f>SUM(F57:F65)</f>
        <v>0</v>
      </c>
      <c r="G66" s="321">
        <f>SUM(G57:G65)</f>
        <v>0</v>
      </c>
      <c r="H66" s="311"/>
    </row>
    <row r="67" spans="1:8" ht="35.1" customHeight="1">
      <c r="A67" s="711">
        <f t="shared" si="3"/>
        <v>36</v>
      </c>
      <c r="B67" s="335" t="s">
        <v>256</v>
      </c>
      <c r="C67" s="312">
        <f>SUM(D67:E67)</f>
        <v>0</v>
      </c>
      <c r="D67" s="312"/>
      <c r="E67" s="312"/>
      <c r="F67" s="312"/>
      <c r="G67" s="312"/>
      <c r="H67" s="308"/>
    </row>
    <row r="68" spans="1:8" ht="35.1" customHeight="1">
      <c r="A68" s="711">
        <f t="shared" si="3"/>
        <v>37</v>
      </c>
      <c r="B68" s="336" t="s">
        <v>257</v>
      </c>
      <c r="C68" s="315">
        <f>SUM(D68:E68)</f>
        <v>0</v>
      </c>
      <c r="D68" s="315"/>
      <c r="E68" s="315">
        <v>0</v>
      </c>
      <c r="F68" s="315"/>
      <c r="G68" s="315"/>
      <c r="H68" s="316"/>
    </row>
    <row r="69" spans="1:8" ht="35.1" customHeight="1" thickBot="1">
      <c r="A69" s="711">
        <f t="shared" si="3"/>
        <v>38</v>
      </c>
      <c r="B69" s="331" t="s">
        <v>35</v>
      </c>
      <c r="C69" s="332">
        <f>+SUM(D69:G69)</f>
        <v>0</v>
      </c>
      <c r="D69" s="332">
        <f>+D66-D67-D68</f>
        <v>0</v>
      </c>
      <c r="E69" s="332">
        <f>+E66-E67-E68</f>
        <v>0</v>
      </c>
      <c r="F69" s="332">
        <f>+F66-F67-F68</f>
        <v>0</v>
      </c>
      <c r="G69" s="332">
        <f>+G66-G67-G68</f>
        <v>0</v>
      </c>
      <c r="H69" s="333"/>
    </row>
    <row r="70" spans="1:8" ht="35.1" customHeight="1" thickTop="1">
      <c r="B70" s="300"/>
      <c r="C70" s="301"/>
      <c r="D70" s="301"/>
      <c r="E70" s="303"/>
      <c r="F70" s="285"/>
      <c r="G70" s="322"/>
      <c r="H70" s="317"/>
    </row>
    <row r="71" spans="1:8" ht="35.1" customHeight="1">
      <c r="B71" s="301" t="s">
        <v>264</v>
      </c>
      <c r="C71" s="301"/>
      <c r="D71" s="285"/>
      <c r="E71" s="322"/>
      <c r="F71" s="301"/>
      <c r="G71" s="317"/>
      <c r="H71" s="301"/>
    </row>
    <row r="72" spans="1:8" ht="18">
      <c r="B72" s="993" t="s">
        <v>259</v>
      </c>
      <c r="C72" s="993"/>
      <c r="D72" s="993"/>
      <c r="E72" s="993"/>
      <c r="F72" s="993"/>
      <c r="G72" s="993"/>
      <c r="H72" s="301"/>
    </row>
    <row r="73" spans="1:8" ht="18">
      <c r="B73" s="300" t="s">
        <v>260</v>
      </c>
      <c r="C73" s="301"/>
      <c r="D73" s="301"/>
      <c r="E73" s="301"/>
      <c r="F73" s="285"/>
      <c r="G73" s="285"/>
      <c r="H73" s="301"/>
    </row>
    <row r="74" spans="1:8" ht="18">
      <c r="B74" s="300" t="s">
        <v>261</v>
      </c>
      <c r="C74" s="301"/>
      <c r="D74" s="301"/>
      <c r="E74" s="301"/>
      <c r="F74" s="285"/>
      <c r="G74" s="285"/>
      <c r="H74" s="301"/>
    </row>
    <row r="75" spans="1:8" ht="18">
      <c r="B75" s="300" t="s">
        <v>262</v>
      </c>
      <c r="C75" s="301"/>
      <c r="D75" s="301"/>
      <c r="E75" s="301"/>
      <c r="F75" s="285"/>
      <c r="G75" s="285"/>
      <c r="H75" s="301"/>
    </row>
    <row r="76" spans="1:8" ht="18">
      <c r="B76" s="993" t="s">
        <v>401</v>
      </c>
      <c r="C76" s="993"/>
      <c r="D76" s="993"/>
      <c r="E76" s="993"/>
      <c r="F76" s="993"/>
      <c r="G76" s="993"/>
      <c r="H76" s="317"/>
    </row>
    <row r="77" spans="1:8" s="253" customFormat="1" ht="24.95" customHeight="1">
      <c r="A77" s="712"/>
      <c r="B77" s="991" t="str">
        <f>+B49</f>
        <v>HURLEY AVENUE PROJECT - SYSTEM DELIVERABILITY UPGRADE</v>
      </c>
      <c r="C77" s="992"/>
      <c r="D77" s="992"/>
      <c r="E77" s="992"/>
      <c r="F77" s="992"/>
      <c r="G77" s="992"/>
      <c r="H77" s="992"/>
    </row>
    <row r="78" spans="1:8" s="253" customFormat="1" ht="24.95" customHeight="1">
      <c r="A78" s="712"/>
      <c r="B78" s="991" t="s">
        <v>267</v>
      </c>
      <c r="C78" s="991"/>
      <c r="D78" s="991"/>
      <c r="E78" s="991"/>
      <c r="F78" s="991"/>
      <c r="G78" s="991"/>
      <c r="H78" s="991"/>
    </row>
    <row r="79" spans="1:8" s="253" customFormat="1" ht="24.95" customHeight="1">
      <c r="A79" s="712"/>
      <c r="B79" s="991" t="s">
        <v>180</v>
      </c>
      <c r="C79" s="991"/>
      <c r="D79" s="991"/>
      <c r="E79" s="991"/>
      <c r="F79" s="991"/>
      <c r="G79" s="991"/>
      <c r="H79" s="991"/>
    </row>
    <row r="80" spans="1:8" ht="24.95" customHeight="1">
      <c r="B80" s="300"/>
      <c r="C80" s="301"/>
      <c r="D80" s="301"/>
      <c r="E80" s="301"/>
      <c r="F80" s="301"/>
      <c r="G80" s="301"/>
      <c r="H80" s="317"/>
    </row>
    <row r="81" spans="1:8" ht="18">
      <c r="B81" s="285" t="s">
        <v>85</v>
      </c>
      <c r="C81" s="285" t="s">
        <v>86</v>
      </c>
      <c r="D81" s="285" t="s">
        <v>87</v>
      </c>
      <c r="E81" s="285" t="s">
        <v>88</v>
      </c>
      <c r="F81" s="255" t="s">
        <v>89</v>
      </c>
      <c r="G81" s="285" t="s">
        <v>90</v>
      </c>
      <c r="H81" s="285" t="s">
        <v>91</v>
      </c>
    </row>
    <row r="82" spans="1:8" ht="18">
      <c r="B82" s="285"/>
      <c r="C82" s="280" t="s">
        <v>35</v>
      </c>
      <c r="D82" s="280" t="s">
        <v>252</v>
      </c>
      <c r="E82" s="285"/>
      <c r="F82" s="285"/>
      <c r="G82" s="285"/>
      <c r="H82" s="285"/>
    </row>
    <row r="83" spans="1:8" ht="18">
      <c r="B83" s="301" t="s">
        <v>269</v>
      </c>
      <c r="C83" s="280"/>
      <c r="D83" s="280" t="s">
        <v>253</v>
      </c>
      <c r="E83" s="280" t="s">
        <v>38</v>
      </c>
      <c r="F83" s="280" t="s">
        <v>240</v>
      </c>
      <c r="G83" s="280" t="s">
        <v>238</v>
      </c>
      <c r="H83" s="285"/>
    </row>
    <row r="84" spans="1:8" ht="18">
      <c r="B84" s="301"/>
      <c r="C84" s="280"/>
      <c r="D84" s="280" t="s">
        <v>241</v>
      </c>
      <c r="E84" s="280" t="s">
        <v>241</v>
      </c>
      <c r="F84" s="280" t="s">
        <v>241</v>
      </c>
      <c r="G84" s="280" t="s">
        <v>241</v>
      </c>
      <c r="H84" s="301"/>
    </row>
    <row r="85" spans="1:8" ht="35.1" customHeight="1">
      <c r="A85" s="711">
        <f>+A69+1</f>
        <v>39</v>
      </c>
      <c r="B85" s="309"/>
      <c r="C85" s="264">
        <f>SUM(D85:G85)</f>
        <v>0</v>
      </c>
      <c r="D85" s="265"/>
      <c r="E85" s="265">
        <v>0</v>
      </c>
      <c r="F85" s="265"/>
      <c r="G85" s="265"/>
      <c r="H85" s="308"/>
    </row>
    <row r="86" spans="1:8" ht="35.1" customHeight="1">
      <c r="A86" s="711">
        <f>+A85+1</f>
        <v>40</v>
      </c>
      <c r="B86" s="309"/>
      <c r="C86" s="264">
        <f>SUM(D86:G86)</f>
        <v>0</v>
      </c>
      <c r="D86" s="265"/>
      <c r="E86" s="265"/>
      <c r="F86" s="265"/>
      <c r="G86" s="265"/>
      <c r="H86" s="308"/>
    </row>
    <row r="87" spans="1:8" ht="35.1" customHeight="1">
      <c r="A87" s="711">
        <f t="shared" ref="A87:A98" si="4">+A86+1</f>
        <v>41</v>
      </c>
      <c r="B87" s="309"/>
      <c r="C87" s="264">
        <f>SUM(D87:G87)</f>
        <v>0</v>
      </c>
      <c r="D87" s="265"/>
      <c r="E87" s="265"/>
      <c r="F87" s="265"/>
      <c r="G87" s="265"/>
      <c r="H87" s="308"/>
    </row>
    <row r="88" spans="1:8" ht="35.1" customHeight="1">
      <c r="A88" s="711">
        <f t="shared" si="4"/>
        <v>42</v>
      </c>
      <c r="B88" s="309"/>
      <c r="C88" s="264">
        <f>SUM(D88:G88)</f>
        <v>0</v>
      </c>
      <c r="D88" s="265"/>
      <c r="E88" s="265"/>
      <c r="F88" s="265"/>
      <c r="G88" s="265"/>
      <c r="H88" s="308"/>
    </row>
    <row r="89" spans="1:8" ht="35.1" customHeight="1">
      <c r="A89" s="711">
        <f t="shared" si="4"/>
        <v>43</v>
      </c>
      <c r="B89" s="309"/>
      <c r="C89" s="307">
        <f>SUM(D89:G89)</f>
        <v>0</v>
      </c>
      <c r="D89" s="319"/>
      <c r="E89" s="307"/>
      <c r="F89" s="307"/>
      <c r="G89" s="307"/>
      <c r="H89" s="308"/>
    </row>
    <row r="90" spans="1:8" ht="35.1" customHeight="1">
      <c r="A90" s="711">
        <f t="shared" si="4"/>
        <v>44</v>
      </c>
      <c r="B90" s="309"/>
      <c r="C90" s="307"/>
      <c r="D90" s="319"/>
      <c r="E90" s="307"/>
      <c r="F90" s="307"/>
      <c r="G90" s="307"/>
      <c r="H90" s="308"/>
    </row>
    <row r="91" spans="1:8" ht="35.1" customHeight="1">
      <c r="A91" s="711">
        <f t="shared" si="4"/>
        <v>45</v>
      </c>
      <c r="B91" s="309"/>
      <c r="C91" s="307"/>
      <c r="D91" s="319"/>
      <c r="E91" s="307"/>
      <c r="F91" s="307"/>
      <c r="G91" s="307"/>
      <c r="H91" s="308"/>
    </row>
    <row r="92" spans="1:8" ht="35.1" customHeight="1">
      <c r="A92" s="711">
        <f t="shared" si="4"/>
        <v>46</v>
      </c>
      <c r="B92" s="309"/>
      <c r="C92" s="307"/>
      <c r="D92" s="310"/>
      <c r="E92" s="307"/>
      <c r="F92" s="307"/>
      <c r="G92" s="307"/>
      <c r="H92" s="308"/>
    </row>
    <row r="93" spans="1:8" ht="35.1" customHeight="1">
      <c r="A93" s="711">
        <f t="shared" si="4"/>
        <v>47</v>
      </c>
      <c r="B93" s="309"/>
      <c r="C93" s="307"/>
      <c r="D93" s="307"/>
      <c r="E93" s="307"/>
      <c r="F93" s="307"/>
      <c r="G93" s="307"/>
      <c r="H93" s="308"/>
    </row>
    <row r="94" spans="1:8" ht="35.1" customHeight="1">
      <c r="A94" s="711">
        <f t="shared" si="4"/>
        <v>48</v>
      </c>
      <c r="B94" s="309"/>
      <c r="C94" s="307"/>
      <c r="D94" s="307"/>
      <c r="E94" s="307"/>
      <c r="F94" s="307"/>
      <c r="G94" s="307"/>
      <c r="H94" s="308"/>
    </row>
    <row r="95" spans="1:8" ht="20.100000000000001" customHeight="1">
      <c r="A95" s="711">
        <f t="shared" si="4"/>
        <v>49</v>
      </c>
      <c r="B95" s="327" t="s">
        <v>265</v>
      </c>
      <c r="C95" s="328">
        <f>SUBTOTAL(9,C85:C94)</f>
        <v>0</v>
      </c>
      <c r="D95" s="328">
        <f>SUM(D85:D94)</f>
        <v>0</v>
      </c>
      <c r="E95" s="328">
        <f>SUM(E85:E94)</f>
        <v>0</v>
      </c>
      <c r="F95" s="328">
        <f>SUM(F85:F94)</f>
        <v>0</v>
      </c>
      <c r="G95" s="328">
        <f>SUM(G85:G94)</f>
        <v>0</v>
      </c>
      <c r="H95" s="308"/>
    </row>
    <row r="96" spans="1:8" ht="20.100000000000001" customHeight="1">
      <c r="A96" s="711">
        <f t="shared" si="4"/>
        <v>50</v>
      </c>
      <c r="B96" s="327" t="s">
        <v>256</v>
      </c>
      <c r="C96" s="313">
        <f>SUM(D96:G96)</f>
        <v>0</v>
      </c>
      <c r="D96" s="313"/>
      <c r="E96" s="313">
        <f>E86</f>
        <v>0</v>
      </c>
      <c r="F96" s="313"/>
      <c r="G96" s="313"/>
      <c r="H96" s="308"/>
    </row>
    <row r="97" spans="1:9" ht="20.100000000000001" customHeight="1">
      <c r="A97" s="711">
        <f t="shared" si="4"/>
        <v>51</v>
      </c>
      <c r="B97" s="337" t="s">
        <v>257</v>
      </c>
      <c r="C97" s="323"/>
      <c r="D97" s="323"/>
      <c r="E97" s="323"/>
      <c r="F97" s="323"/>
      <c r="G97" s="323"/>
      <c r="H97" s="316"/>
    </row>
    <row r="98" spans="1:9" ht="20.100000000000001" customHeight="1" thickBot="1">
      <c r="A98" s="711">
        <f t="shared" si="4"/>
        <v>52</v>
      </c>
      <c r="B98" s="331" t="s">
        <v>35</v>
      </c>
      <c r="C98" s="338">
        <f>+SUM(D98:G98)</f>
        <v>0</v>
      </c>
      <c r="D98" s="338">
        <f>+D95-D96-D97</f>
        <v>0</v>
      </c>
      <c r="E98" s="338">
        <f>+E95-E96-E97</f>
        <v>0</v>
      </c>
      <c r="F98" s="338">
        <f>+F95-F96-F97</f>
        <v>0</v>
      </c>
      <c r="G98" s="338">
        <f>+G95-G96-G97</f>
        <v>0</v>
      </c>
      <c r="H98" s="333"/>
    </row>
    <row r="99" spans="1:9" ht="35.1" customHeight="1" thickTop="1">
      <c r="B99" s="301" t="s">
        <v>266</v>
      </c>
      <c r="C99" s="301"/>
      <c r="D99" s="301"/>
      <c r="E99" s="285"/>
      <c r="F99" s="285"/>
      <c r="G99" s="301"/>
      <c r="H99" s="324"/>
    </row>
    <row r="100" spans="1:9" ht="20.100000000000001" customHeight="1">
      <c r="B100" s="993" t="s">
        <v>259</v>
      </c>
      <c r="C100" s="993"/>
      <c r="D100" s="993"/>
      <c r="E100" s="993"/>
      <c r="F100" s="993"/>
      <c r="G100" s="993"/>
      <c r="H100" s="301"/>
    </row>
    <row r="101" spans="1:9" ht="20.100000000000001" customHeight="1">
      <c r="B101" s="300" t="s">
        <v>260</v>
      </c>
      <c r="C101" s="301"/>
      <c r="D101" s="301"/>
      <c r="E101" s="301"/>
      <c r="F101" s="285"/>
      <c r="G101" s="285"/>
      <c r="H101" s="301"/>
    </row>
    <row r="102" spans="1:9" ht="20.100000000000001" customHeight="1">
      <c r="B102" s="300" t="s">
        <v>261</v>
      </c>
      <c r="C102" s="301"/>
      <c r="D102" s="301"/>
      <c r="E102" s="301"/>
      <c r="F102" s="285"/>
      <c r="G102" s="285"/>
      <c r="H102" s="301"/>
    </row>
    <row r="103" spans="1:9" ht="20.100000000000001" customHeight="1">
      <c r="B103" s="300" t="s">
        <v>262</v>
      </c>
      <c r="C103" s="301"/>
      <c r="D103" s="301"/>
      <c r="E103" s="301"/>
      <c r="F103" s="285"/>
      <c r="G103" s="285"/>
      <c r="H103" s="301"/>
    </row>
    <row r="104" spans="1:9" ht="18">
      <c r="B104" s="993" t="s">
        <v>401</v>
      </c>
      <c r="C104" s="993"/>
      <c r="D104" s="993"/>
      <c r="E104" s="993"/>
      <c r="F104" s="993"/>
      <c r="G104" s="993"/>
      <c r="H104" s="301"/>
    </row>
    <row r="105" spans="1:9" ht="18">
      <c r="B105" s="300"/>
      <c r="C105" s="301"/>
      <c r="D105" s="301"/>
      <c r="E105" s="301"/>
      <c r="F105" s="301"/>
      <c r="G105" s="301"/>
      <c r="H105" s="301"/>
    </row>
    <row r="106" spans="1:9" ht="15.75" customHeight="1">
      <c r="B106" s="325"/>
      <c r="C106" s="325"/>
      <c r="D106" s="325"/>
      <c r="E106" s="325"/>
      <c r="F106" s="325"/>
      <c r="G106" s="325"/>
      <c r="H106" s="325"/>
    </row>
    <row r="107" spans="1:9" ht="18">
      <c r="B107" s="990"/>
      <c r="C107" s="990"/>
      <c r="D107" s="990"/>
      <c r="E107" s="990"/>
      <c r="F107" s="990"/>
      <c r="G107" s="990"/>
      <c r="H107" s="990"/>
    </row>
    <row r="108" spans="1:9" ht="18">
      <c r="B108" s="301"/>
      <c r="C108" s="301"/>
      <c r="D108" s="301"/>
      <c r="E108" s="301"/>
      <c r="F108" s="301"/>
      <c r="G108" s="301"/>
      <c r="H108" s="301"/>
    </row>
    <row r="109" spans="1:9" ht="18">
      <c r="B109" s="301"/>
      <c r="C109" s="301"/>
      <c r="D109" s="301"/>
      <c r="E109" s="301"/>
      <c r="F109" s="301"/>
      <c r="G109" s="301"/>
      <c r="H109" s="301"/>
    </row>
    <row r="110" spans="1:9" ht="15.75" customHeight="1">
      <c r="B110" s="301"/>
      <c r="C110" s="301"/>
      <c r="D110" s="301"/>
      <c r="E110" s="301"/>
      <c r="F110" s="301"/>
      <c r="G110" s="301"/>
      <c r="H110" s="301"/>
    </row>
    <row r="111" spans="1:9" ht="18">
      <c r="B111" s="301"/>
      <c r="C111" s="301"/>
      <c r="D111" s="339"/>
      <c r="E111" s="339"/>
      <c r="F111" s="339"/>
      <c r="G111" s="339"/>
      <c r="H111" s="339"/>
      <c r="I111" s="256"/>
    </row>
    <row r="112" spans="1:9" ht="18">
      <c r="B112" s="301"/>
      <c r="C112" s="301"/>
      <c r="D112" s="339"/>
      <c r="E112" s="339"/>
      <c r="F112" s="339"/>
      <c r="G112" s="339"/>
      <c r="H112" s="339"/>
      <c r="I112" s="256"/>
    </row>
    <row r="113" spans="2:8" ht="18">
      <c r="B113" s="300"/>
      <c r="C113" s="301"/>
      <c r="D113" s="285"/>
      <c r="E113" s="285"/>
      <c r="F113" s="301"/>
      <c r="G113" s="301"/>
      <c r="H113" s="301"/>
    </row>
    <row r="114" spans="2:8" ht="18">
      <c r="B114" s="300"/>
      <c r="C114" s="301"/>
      <c r="D114" s="326"/>
      <c r="E114" s="326"/>
      <c r="F114" s="301"/>
      <c r="G114" s="301"/>
      <c r="H114" s="301"/>
    </row>
    <row r="115" spans="2:8" ht="18">
      <c r="B115" s="300"/>
      <c r="C115" s="301"/>
      <c r="D115" s="326"/>
      <c r="E115" s="326"/>
      <c r="F115" s="301"/>
      <c r="G115" s="301"/>
      <c r="H115" s="301"/>
    </row>
    <row r="116" spans="2:8" ht="18">
      <c r="B116" s="300"/>
      <c r="C116" s="301"/>
      <c r="D116" s="326"/>
      <c r="E116" s="326"/>
      <c r="F116" s="301"/>
      <c r="G116" s="301"/>
      <c r="H116" s="301"/>
    </row>
    <row r="117" spans="2:8" ht="18">
      <c r="B117" s="300"/>
      <c r="C117" s="301"/>
      <c r="D117" s="326"/>
      <c r="E117" s="326"/>
      <c r="F117" s="301"/>
      <c r="G117" s="301"/>
      <c r="H117" s="301"/>
    </row>
    <row r="118" spans="2:8" ht="18">
      <c r="B118" s="300"/>
      <c r="C118" s="301"/>
      <c r="D118" s="326"/>
      <c r="E118" s="326"/>
      <c r="F118" s="301"/>
      <c r="G118" s="301"/>
      <c r="H118" s="301"/>
    </row>
    <row r="119" spans="2:8" ht="18">
      <c r="B119" s="300"/>
      <c r="C119" s="301"/>
      <c r="D119" s="326"/>
      <c r="E119" s="326"/>
      <c r="F119" s="301"/>
      <c r="G119" s="301"/>
      <c r="H119" s="301"/>
    </row>
    <row r="120" spans="2:8" ht="18">
      <c r="B120" s="300"/>
      <c r="C120" s="301"/>
      <c r="D120" s="326"/>
      <c r="E120" s="326"/>
      <c r="F120" s="301"/>
      <c r="G120" s="301"/>
      <c r="H120" s="301"/>
    </row>
    <row r="121" spans="2:8" ht="18">
      <c r="B121" s="300"/>
      <c r="C121" s="301"/>
      <c r="D121" s="326"/>
      <c r="E121" s="326"/>
      <c r="F121" s="301"/>
      <c r="G121" s="301"/>
      <c r="H121" s="301"/>
    </row>
    <row r="122" spans="2:8" ht="18">
      <c r="B122" s="300"/>
      <c r="C122" s="301"/>
      <c r="D122" s="326"/>
      <c r="E122" s="326"/>
      <c r="F122" s="301"/>
      <c r="G122" s="301"/>
      <c r="H122" s="301"/>
    </row>
    <row r="123" spans="2:8" ht="18">
      <c r="B123" s="300"/>
      <c r="C123" s="301"/>
      <c r="D123" s="326"/>
      <c r="E123" s="326"/>
      <c r="F123" s="301"/>
      <c r="G123" s="301"/>
      <c r="H123" s="301"/>
    </row>
    <row r="124" spans="2:8" ht="18">
      <c r="B124" s="301"/>
      <c r="C124" s="301"/>
      <c r="D124" s="326"/>
      <c r="E124" s="326"/>
      <c r="F124" s="301"/>
      <c r="G124" s="301"/>
      <c r="H124" s="301"/>
    </row>
    <row r="125" spans="2:8" ht="18">
      <c r="B125" s="300"/>
      <c r="C125" s="301"/>
      <c r="D125" s="326"/>
      <c r="E125" s="326"/>
      <c r="F125" s="301"/>
      <c r="G125" s="301"/>
      <c r="H125" s="301"/>
    </row>
    <row r="126" spans="2:8" ht="18">
      <c r="B126" s="301"/>
      <c r="C126" s="301"/>
      <c r="D126" s="326"/>
      <c r="E126" s="326"/>
      <c r="F126" s="301"/>
      <c r="G126" s="301"/>
      <c r="H126" s="301"/>
    </row>
    <row r="127" spans="2:8" ht="18">
      <c r="B127" s="300"/>
      <c r="C127" s="301"/>
      <c r="D127" s="301"/>
      <c r="E127" s="301"/>
      <c r="F127" s="301"/>
      <c r="G127" s="301"/>
      <c r="H127" s="301"/>
    </row>
    <row r="128" spans="2:8" ht="18">
      <c r="B128" s="300"/>
      <c r="C128" s="301"/>
      <c r="D128" s="301"/>
      <c r="E128" s="301"/>
      <c r="F128" s="301"/>
      <c r="G128" s="301"/>
      <c r="H128" s="301"/>
    </row>
    <row r="129" spans="2:8" ht="18">
      <c r="B129" s="300"/>
      <c r="C129" s="301"/>
      <c r="D129" s="301"/>
      <c r="E129" s="301"/>
      <c r="F129" s="301"/>
      <c r="G129" s="301"/>
      <c r="H129" s="301"/>
    </row>
    <row r="130" spans="2:8" ht="18">
      <c r="B130" s="300"/>
      <c r="C130" s="301"/>
      <c r="D130" s="301"/>
      <c r="E130" s="301"/>
      <c r="F130" s="301"/>
      <c r="G130" s="301"/>
      <c r="H130" s="301"/>
    </row>
    <row r="131" spans="2:8" ht="18">
      <c r="B131" s="300"/>
      <c r="C131" s="301"/>
      <c r="D131" s="301"/>
      <c r="E131" s="301"/>
      <c r="F131" s="301"/>
      <c r="G131" s="301"/>
      <c r="H131" s="301"/>
    </row>
    <row r="132" spans="2:8" ht="18">
      <c r="B132" s="300"/>
      <c r="C132" s="301"/>
      <c r="D132" s="301"/>
      <c r="E132" s="301"/>
      <c r="F132" s="301"/>
      <c r="G132" s="301"/>
      <c r="H132" s="301"/>
    </row>
    <row r="133" spans="2:8" ht="18">
      <c r="B133" s="300"/>
      <c r="C133" s="301"/>
      <c r="D133" s="301"/>
      <c r="E133" s="301"/>
      <c r="F133" s="301"/>
      <c r="G133" s="301"/>
      <c r="H133" s="301"/>
    </row>
    <row r="134" spans="2:8" ht="18">
      <c r="B134" s="300"/>
      <c r="C134" s="301"/>
      <c r="D134" s="301"/>
      <c r="E134" s="301"/>
      <c r="F134" s="301"/>
      <c r="G134" s="301"/>
      <c r="H134" s="301"/>
    </row>
    <row r="135" spans="2:8" ht="18">
      <c r="B135" s="300"/>
      <c r="C135" s="301"/>
      <c r="D135" s="301"/>
      <c r="E135" s="301"/>
      <c r="F135" s="301"/>
      <c r="G135" s="301"/>
      <c r="H135" s="301"/>
    </row>
    <row r="136" spans="2:8" ht="18">
      <c r="B136" s="300"/>
      <c r="C136" s="301"/>
      <c r="D136" s="301"/>
      <c r="E136" s="301"/>
      <c r="F136" s="301"/>
      <c r="G136" s="301"/>
      <c r="H136" s="301"/>
    </row>
    <row r="137" spans="2:8" ht="18">
      <c r="B137" s="300"/>
      <c r="C137" s="301"/>
      <c r="D137" s="301"/>
      <c r="E137" s="301"/>
      <c r="F137" s="301"/>
      <c r="G137" s="301"/>
      <c r="H137" s="301"/>
    </row>
    <row r="138" spans="2:8" ht="18">
      <c r="B138" s="300"/>
      <c r="C138" s="301"/>
      <c r="D138" s="301"/>
      <c r="E138" s="301"/>
      <c r="F138" s="301"/>
      <c r="G138" s="301"/>
      <c r="H138" s="301"/>
    </row>
    <row r="139" spans="2:8" ht="18">
      <c r="B139" s="300"/>
      <c r="C139" s="301"/>
      <c r="D139" s="301"/>
      <c r="E139" s="301"/>
      <c r="F139" s="301"/>
      <c r="G139" s="301"/>
      <c r="H139" s="301"/>
    </row>
    <row r="140" spans="2:8" ht="18">
      <c r="B140" s="300"/>
      <c r="C140" s="301"/>
      <c r="D140" s="301"/>
      <c r="E140" s="301"/>
      <c r="F140" s="301"/>
      <c r="G140" s="301"/>
      <c r="H140" s="301"/>
    </row>
    <row r="141" spans="2:8" ht="18">
      <c r="B141" s="300"/>
      <c r="C141" s="301"/>
      <c r="D141" s="301"/>
      <c r="E141" s="301"/>
      <c r="F141" s="301"/>
      <c r="G141" s="301"/>
      <c r="H141" s="301"/>
    </row>
    <row r="142" spans="2:8" ht="18">
      <c r="B142" s="300"/>
      <c r="C142" s="301"/>
      <c r="D142" s="301"/>
      <c r="E142" s="301"/>
      <c r="F142" s="301"/>
      <c r="G142" s="301"/>
      <c r="H142" s="301"/>
    </row>
    <row r="143" spans="2:8" ht="18">
      <c r="B143" s="300"/>
      <c r="C143" s="301"/>
      <c r="D143" s="301"/>
      <c r="E143" s="301"/>
      <c r="F143" s="301"/>
      <c r="G143" s="301"/>
      <c r="H143" s="301"/>
    </row>
    <row r="144" spans="2:8" ht="18">
      <c r="B144" s="300"/>
      <c r="C144" s="301"/>
      <c r="D144" s="301"/>
      <c r="E144" s="301"/>
      <c r="F144" s="301"/>
      <c r="G144" s="301"/>
      <c r="H144" s="301"/>
    </row>
    <row r="145" spans="2:8" ht="18">
      <c r="B145" s="300"/>
      <c r="C145" s="301"/>
      <c r="D145" s="301"/>
      <c r="E145" s="301"/>
      <c r="F145" s="301"/>
      <c r="G145" s="301"/>
      <c r="H145" s="301"/>
    </row>
    <row r="146" spans="2:8" ht="18">
      <c r="B146" s="300"/>
      <c r="C146" s="301"/>
      <c r="D146" s="301"/>
      <c r="E146" s="301"/>
      <c r="F146" s="301"/>
      <c r="G146" s="301"/>
      <c r="H146" s="301"/>
    </row>
    <row r="147" spans="2:8" ht="18">
      <c r="B147" s="300"/>
      <c r="C147" s="301"/>
      <c r="D147" s="301"/>
      <c r="E147" s="301"/>
      <c r="F147" s="301"/>
      <c r="G147" s="301"/>
      <c r="H147" s="301"/>
    </row>
    <row r="148" spans="2:8" ht="18">
      <c r="B148" s="300"/>
      <c r="C148" s="301"/>
      <c r="D148" s="301"/>
      <c r="E148" s="301"/>
      <c r="F148" s="301"/>
      <c r="G148" s="301"/>
      <c r="H148" s="301"/>
    </row>
    <row r="149" spans="2:8" ht="18">
      <c r="B149" s="300"/>
      <c r="C149" s="301"/>
      <c r="D149" s="301"/>
      <c r="E149" s="301"/>
      <c r="F149" s="301"/>
      <c r="G149" s="301"/>
      <c r="H149" s="301"/>
    </row>
    <row r="150" spans="2:8" ht="18">
      <c r="B150" s="300"/>
      <c r="C150" s="301"/>
      <c r="D150" s="301"/>
      <c r="E150" s="301"/>
      <c r="F150" s="301"/>
      <c r="G150" s="301"/>
      <c r="H150" s="301"/>
    </row>
    <row r="151" spans="2:8" ht="18">
      <c r="B151" s="300"/>
      <c r="C151" s="301"/>
      <c r="D151" s="301"/>
      <c r="E151" s="301"/>
      <c r="F151" s="301"/>
      <c r="G151" s="301"/>
      <c r="H151" s="301"/>
    </row>
    <row r="152" spans="2:8" ht="18">
      <c r="B152" s="300"/>
      <c r="C152" s="301"/>
      <c r="D152" s="301"/>
      <c r="E152" s="301"/>
      <c r="F152" s="301"/>
      <c r="G152" s="301"/>
      <c r="H152" s="301"/>
    </row>
    <row r="153" spans="2:8" ht="18">
      <c r="B153" s="300"/>
      <c r="C153" s="301"/>
      <c r="D153" s="301"/>
      <c r="E153" s="301"/>
      <c r="F153" s="301"/>
      <c r="G153" s="301"/>
      <c r="H153" s="301"/>
    </row>
    <row r="154" spans="2:8" ht="18">
      <c r="B154" s="300"/>
      <c r="C154" s="301"/>
      <c r="D154" s="301"/>
      <c r="E154" s="301"/>
      <c r="F154" s="301"/>
      <c r="G154" s="301"/>
      <c r="H154" s="301"/>
    </row>
    <row r="155" spans="2:8" ht="18">
      <c r="B155" s="300"/>
      <c r="C155" s="301"/>
      <c r="D155" s="301"/>
      <c r="E155" s="301"/>
      <c r="F155" s="301"/>
      <c r="G155" s="301"/>
      <c r="H155" s="301"/>
    </row>
    <row r="156" spans="2:8" ht="18">
      <c r="B156" s="300"/>
      <c r="C156" s="301"/>
      <c r="D156" s="301"/>
      <c r="E156" s="301"/>
      <c r="F156" s="301"/>
      <c r="G156" s="301"/>
      <c r="H156" s="301"/>
    </row>
    <row r="157" spans="2:8" ht="18">
      <c r="B157" s="300"/>
      <c r="C157" s="301"/>
      <c r="D157" s="301"/>
      <c r="E157" s="301"/>
      <c r="F157" s="301"/>
      <c r="G157" s="301"/>
      <c r="H157" s="301"/>
    </row>
    <row r="158" spans="2:8" ht="18">
      <c r="B158" s="300"/>
      <c r="C158" s="301"/>
      <c r="D158" s="301"/>
      <c r="E158" s="301"/>
      <c r="F158" s="301"/>
      <c r="G158" s="301"/>
      <c r="H158" s="301"/>
    </row>
    <row r="159" spans="2:8" ht="18">
      <c r="B159" s="300"/>
      <c r="C159" s="301"/>
      <c r="D159" s="301"/>
      <c r="E159" s="301"/>
      <c r="F159" s="301"/>
      <c r="G159" s="301"/>
      <c r="H159" s="301"/>
    </row>
    <row r="160" spans="2:8" ht="18">
      <c r="B160" s="300"/>
      <c r="C160" s="301"/>
      <c r="D160" s="301"/>
      <c r="E160" s="301"/>
      <c r="F160" s="301"/>
      <c r="G160" s="301"/>
      <c r="H160" s="301"/>
    </row>
    <row r="161" spans="2:8" ht="18">
      <c r="B161" s="300"/>
      <c r="C161" s="301"/>
      <c r="D161" s="301"/>
      <c r="E161" s="301"/>
      <c r="F161" s="301"/>
      <c r="G161" s="301"/>
      <c r="H161" s="301"/>
    </row>
    <row r="162" spans="2:8" ht="18">
      <c r="B162" s="300"/>
      <c r="C162" s="301"/>
      <c r="D162" s="301"/>
      <c r="E162" s="301"/>
      <c r="F162" s="301"/>
      <c r="G162" s="301"/>
      <c r="H162" s="301"/>
    </row>
    <row r="163" spans="2:8" ht="18">
      <c r="B163" s="300"/>
      <c r="C163" s="301"/>
      <c r="D163" s="301"/>
      <c r="E163" s="301"/>
      <c r="F163" s="301"/>
      <c r="G163" s="301"/>
      <c r="H163" s="301"/>
    </row>
    <row r="164" spans="2:8" ht="18">
      <c r="B164" s="300"/>
      <c r="C164" s="301"/>
      <c r="D164" s="301"/>
      <c r="E164" s="301"/>
      <c r="F164" s="301"/>
      <c r="G164" s="301"/>
      <c r="H164" s="301"/>
    </row>
    <row r="165" spans="2:8" ht="18">
      <c r="B165" s="300"/>
      <c r="C165" s="301"/>
      <c r="D165" s="301"/>
      <c r="E165" s="301"/>
      <c r="F165" s="301"/>
      <c r="G165" s="301"/>
      <c r="H165" s="301"/>
    </row>
    <row r="166" spans="2:8" ht="18">
      <c r="B166" s="300"/>
      <c r="C166" s="301"/>
      <c r="D166" s="301"/>
      <c r="E166" s="301"/>
      <c r="F166" s="301"/>
      <c r="G166" s="301"/>
      <c r="H166" s="301"/>
    </row>
    <row r="167" spans="2:8" ht="18">
      <c r="B167" s="300"/>
      <c r="C167" s="301"/>
      <c r="D167" s="301"/>
      <c r="E167" s="301"/>
      <c r="F167" s="301"/>
      <c r="G167" s="301"/>
      <c r="H167" s="301"/>
    </row>
    <row r="168" spans="2:8" ht="18">
      <c r="B168" s="300"/>
      <c r="C168" s="301"/>
      <c r="D168" s="301"/>
      <c r="E168" s="301"/>
      <c r="F168" s="301"/>
      <c r="G168" s="301"/>
      <c r="H168" s="301"/>
    </row>
    <row r="169" spans="2:8" ht="18">
      <c r="B169" s="300"/>
      <c r="C169" s="301"/>
      <c r="D169" s="301"/>
      <c r="E169" s="301"/>
      <c r="F169" s="301"/>
      <c r="G169" s="301"/>
      <c r="H169" s="301"/>
    </row>
    <row r="170" spans="2:8" ht="18">
      <c r="B170" s="300"/>
      <c r="C170" s="301"/>
      <c r="D170" s="301"/>
      <c r="E170" s="301"/>
      <c r="F170" s="301"/>
      <c r="G170" s="301"/>
      <c r="H170" s="301"/>
    </row>
    <row r="171" spans="2:8" ht="18">
      <c r="B171" s="300"/>
      <c r="C171" s="301"/>
      <c r="D171" s="301"/>
      <c r="E171" s="301"/>
      <c r="F171" s="301"/>
      <c r="G171" s="301"/>
      <c r="H171" s="301"/>
    </row>
    <row r="172" spans="2:8" ht="18">
      <c r="B172" s="300"/>
      <c r="C172" s="301"/>
      <c r="D172" s="301"/>
      <c r="E172" s="301"/>
      <c r="F172" s="301"/>
      <c r="G172" s="301"/>
      <c r="H172" s="301"/>
    </row>
    <row r="173" spans="2:8" ht="18">
      <c r="B173" s="300"/>
      <c r="C173" s="301"/>
      <c r="D173" s="301"/>
      <c r="E173" s="301"/>
      <c r="F173" s="301"/>
      <c r="G173" s="301"/>
      <c r="H173" s="301"/>
    </row>
    <row r="174" spans="2:8" ht="18">
      <c r="B174" s="300"/>
      <c r="C174" s="301"/>
      <c r="D174" s="301"/>
      <c r="E174" s="301"/>
      <c r="F174" s="301"/>
      <c r="G174" s="301"/>
      <c r="H174" s="301"/>
    </row>
    <row r="175" spans="2:8" ht="18">
      <c r="B175" s="300"/>
      <c r="C175" s="301"/>
      <c r="D175" s="301"/>
      <c r="E175" s="301"/>
      <c r="F175" s="301"/>
      <c r="G175" s="301"/>
      <c r="H175" s="301"/>
    </row>
    <row r="176" spans="2:8" ht="18">
      <c r="B176" s="300"/>
      <c r="C176" s="301"/>
      <c r="D176" s="301"/>
      <c r="E176" s="301"/>
      <c r="F176" s="301"/>
      <c r="G176" s="301"/>
      <c r="H176" s="301"/>
    </row>
    <row r="177" spans="2:8" ht="18">
      <c r="B177" s="300"/>
      <c r="C177" s="301"/>
      <c r="D177" s="301"/>
      <c r="E177" s="301"/>
      <c r="F177" s="301"/>
      <c r="G177" s="301"/>
      <c r="H177" s="301"/>
    </row>
    <row r="178" spans="2:8" ht="18">
      <c r="B178" s="300"/>
      <c r="C178" s="301"/>
      <c r="D178" s="301"/>
      <c r="E178" s="301"/>
      <c r="F178" s="301"/>
      <c r="G178" s="301"/>
      <c r="H178" s="301"/>
    </row>
    <row r="179" spans="2:8" ht="18">
      <c r="B179" s="300"/>
      <c r="C179" s="301"/>
      <c r="D179" s="301"/>
      <c r="E179" s="301"/>
      <c r="F179" s="301"/>
      <c r="G179" s="301"/>
      <c r="H179" s="301"/>
    </row>
    <row r="180" spans="2:8" ht="18">
      <c r="B180" s="300"/>
      <c r="C180" s="301"/>
      <c r="D180" s="301"/>
      <c r="E180" s="301"/>
      <c r="F180" s="301"/>
      <c r="G180" s="301"/>
      <c r="H180" s="301"/>
    </row>
    <row r="181" spans="2:8" ht="18">
      <c r="B181" s="300"/>
      <c r="C181" s="301"/>
      <c r="D181" s="301"/>
      <c r="E181" s="301"/>
      <c r="F181" s="301"/>
      <c r="G181" s="301"/>
      <c r="H181" s="301"/>
    </row>
    <row r="182" spans="2:8" ht="18">
      <c r="B182" s="300"/>
      <c r="C182" s="301"/>
      <c r="D182" s="301"/>
      <c r="E182" s="301"/>
      <c r="F182" s="301"/>
      <c r="G182" s="301"/>
      <c r="H182" s="301"/>
    </row>
    <row r="183" spans="2:8" ht="18">
      <c r="B183" s="300"/>
      <c r="C183" s="301"/>
      <c r="D183" s="301"/>
      <c r="E183" s="301"/>
      <c r="F183" s="301"/>
      <c r="G183" s="301"/>
      <c r="H183" s="301"/>
    </row>
    <row r="184" spans="2:8" ht="18">
      <c r="B184" s="300"/>
      <c r="C184" s="301"/>
      <c r="D184" s="301"/>
      <c r="E184" s="301"/>
      <c r="F184" s="301"/>
      <c r="G184" s="301"/>
      <c r="H184" s="301"/>
    </row>
    <row r="185" spans="2:8" ht="18">
      <c r="B185" s="300"/>
      <c r="C185" s="301"/>
      <c r="D185" s="301"/>
      <c r="E185" s="301"/>
      <c r="F185" s="301"/>
      <c r="G185" s="301"/>
      <c r="H185" s="301"/>
    </row>
    <row r="186" spans="2:8" ht="18">
      <c r="B186" s="300"/>
      <c r="C186" s="301"/>
      <c r="D186" s="301"/>
      <c r="E186" s="301"/>
      <c r="F186" s="301"/>
      <c r="G186" s="301"/>
      <c r="H186" s="301"/>
    </row>
    <row r="187" spans="2:8" ht="18">
      <c r="B187" s="300"/>
      <c r="C187" s="301"/>
      <c r="D187" s="301"/>
      <c r="E187" s="301"/>
      <c r="F187" s="301"/>
      <c r="G187" s="301"/>
      <c r="H187" s="301"/>
    </row>
    <row r="188" spans="2:8" ht="18">
      <c r="B188" s="300"/>
      <c r="C188" s="301"/>
      <c r="D188" s="301"/>
      <c r="E188" s="301"/>
      <c r="F188" s="301"/>
      <c r="G188" s="301"/>
      <c r="H188" s="301"/>
    </row>
    <row r="189" spans="2:8" ht="18">
      <c r="B189" s="300"/>
      <c r="C189" s="301"/>
      <c r="D189" s="301"/>
      <c r="E189" s="301"/>
      <c r="F189" s="301"/>
      <c r="G189" s="301"/>
      <c r="H189" s="301"/>
    </row>
    <row r="190" spans="2:8" ht="18">
      <c r="B190" s="300"/>
      <c r="C190" s="301"/>
      <c r="D190" s="301"/>
      <c r="E190" s="301"/>
      <c r="F190" s="301"/>
      <c r="G190" s="301"/>
      <c r="H190" s="301"/>
    </row>
    <row r="191" spans="2:8" ht="18">
      <c r="B191" s="300"/>
      <c r="C191" s="301"/>
      <c r="D191" s="301"/>
      <c r="E191" s="301"/>
      <c r="F191" s="301"/>
      <c r="G191" s="301"/>
      <c r="H191" s="301"/>
    </row>
    <row r="192" spans="2:8" ht="18">
      <c r="B192" s="300"/>
      <c r="C192" s="301"/>
      <c r="D192" s="301"/>
      <c r="E192" s="301"/>
      <c r="F192" s="301"/>
      <c r="G192" s="301"/>
      <c r="H192" s="301"/>
    </row>
    <row r="193" spans="2:8" ht="18">
      <c r="B193" s="300"/>
      <c r="C193" s="301"/>
      <c r="D193" s="301"/>
      <c r="E193" s="301"/>
      <c r="F193" s="301"/>
      <c r="G193" s="301"/>
      <c r="H193" s="301"/>
    </row>
    <row r="194" spans="2:8" ht="18">
      <c r="B194" s="300"/>
      <c r="C194" s="301"/>
      <c r="D194" s="301"/>
      <c r="E194" s="301"/>
      <c r="F194" s="301"/>
      <c r="G194" s="301"/>
      <c r="H194" s="301"/>
    </row>
    <row r="195" spans="2:8" ht="18">
      <c r="B195" s="300"/>
      <c r="C195" s="301"/>
      <c r="D195" s="301"/>
      <c r="E195" s="301"/>
      <c r="F195" s="301"/>
      <c r="G195" s="301"/>
      <c r="H195" s="301"/>
    </row>
    <row r="196" spans="2:8" ht="18">
      <c r="B196" s="300"/>
      <c r="C196" s="301"/>
      <c r="D196" s="301"/>
      <c r="E196" s="301"/>
      <c r="F196" s="301"/>
      <c r="G196" s="301"/>
      <c r="H196" s="301"/>
    </row>
    <row r="197" spans="2:8" ht="18">
      <c r="B197" s="300"/>
      <c r="C197" s="301"/>
      <c r="D197" s="301"/>
      <c r="E197" s="301"/>
      <c r="F197" s="301"/>
      <c r="G197" s="301"/>
      <c r="H197" s="301"/>
    </row>
    <row r="198" spans="2:8" ht="18">
      <c r="B198" s="300"/>
      <c r="C198" s="301"/>
      <c r="D198" s="301"/>
      <c r="E198" s="301"/>
      <c r="F198" s="301"/>
      <c r="G198" s="301"/>
      <c r="H198" s="301"/>
    </row>
    <row r="199" spans="2:8" ht="18">
      <c r="B199" s="300"/>
      <c r="C199" s="301"/>
      <c r="D199" s="301"/>
      <c r="E199" s="301"/>
      <c r="F199" s="301"/>
      <c r="G199" s="301"/>
      <c r="H199" s="301"/>
    </row>
    <row r="200" spans="2:8" ht="18">
      <c r="B200" s="300"/>
      <c r="C200" s="301"/>
      <c r="D200" s="301"/>
      <c r="E200" s="301"/>
      <c r="F200" s="301"/>
      <c r="G200" s="301"/>
      <c r="H200" s="301"/>
    </row>
    <row r="201" spans="2:8" ht="18">
      <c r="B201" s="300"/>
      <c r="C201" s="301"/>
      <c r="D201" s="301"/>
      <c r="E201" s="301"/>
      <c r="F201" s="301"/>
      <c r="G201" s="301"/>
      <c r="H201" s="301"/>
    </row>
    <row r="202" spans="2:8" ht="18">
      <c r="B202" s="300"/>
      <c r="C202" s="301"/>
      <c r="D202" s="301"/>
      <c r="E202" s="301"/>
      <c r="F202" s="301"/>
      <c r="G202" s="301"/>
      <c r="H202" s="301"/>
    </row>
    <row r="203" spans="2:8" ht="18">
      <c r="B203" s="300"/>
      <c r="C203" s="301"/>
      <c r="D203" s="301"/>
      <c r="E203" s="301"/>
      <c r="F203" s="301"/>
      <c r="G203" s="301"/>
      <c r="H203" s="301"/>
    </row>
    <row r="204" spans="2:8" ht="18">
      <c r="B204" s="300"/>
      <c r="C204" s="301"/>
      <c r="D204" s="301"/>
      <c r="E204" s="301"/>
      <c r="F204" s="301"/>
      <c r="G204" s="301"/>
      <c r="H204" s="301"/>
    </row>
    <row r="205" spans="2:8" ht="18">
      <c r="B205" s="300"/>
      <c r="C205" s="301"/>
      <c r="D205" s="301"/>
      <c r="E205" s="301"/>
      <c r="F205" s="301"/>
      <c r="G205" s="301"/>
      <c r="H205" s="301"/>
    </row>
    <row r="206" spans="2:8" ht="18">
      <c r="B206" s="300"/>
      <c r="C206" s="301"/>
      <c r="D206" s="301"/>
      <c r="E206" s="301"/>
      <c r="F206" s="301"/>
      <c r="G206" s="301"/>
      <c r="H206" s="301"/>
    </row>
    <row r="207" spans="2:8" ht="18">
      <c r="B207" s="300"/>
      <c r="C207" s="301"/>
      <c r="D207" s="301"/>
      <c r="E207" s="301"/>
      <c r="F207" s="301"/>
      <c r="G207" s="301"/>
      <c r="H207" s="301"/>
    </row>
    <row r="208" spans="2:8" ht="18">
      <c r="B208" s="300"/>
      <c r="C208" s="301"/>
      <c r="D208" s="301"/>
      <c r="E208" s="301"/>
      <c r="F208" s="301"/>
      <c r="G208" s="301"/>
      <c r="H208" s="301"/>
    </row>
    <row r="209" spans="2:8" ht="18">
      <c r="B209" s="300"/>
      <c r="C209" s="301"/>
      <c r="D209" s="301"/>
      <c r="E209" s="301"/>
      <c r="F209" s="301"/>
      <c r="G209" s="301"/>
      <c r="H209" s="301"/>
    </row>
    <row r="210" spans="2:8" ht="18">
      <c r="B210" s="300"/>
      <c r="C210" s="301"/>
      <c r="D210" s="301"/>
      <c r="E210" s="301"/>
      <c r="F210" s="301"/>
      <c r="G210" s="301"/>
      <c r="H210" s="301"/>
    </row>
    <row r="211" spans="2:8" ht="18">
      <c r="B211" s="300"/>
      <c r="C211" s="301"/>
      <c r="D211" s="301"/>
      <c r="E211" s="301"/>
      <c r="F211" s="301"/>
      <c r="G211" s="301"/>
      <c r="H211" s="301"/>
    </row>
    <row r="212" spans="2:8" ht="18">
      <c r="B212" s="300"/>
      <c r="C212" s="301"/>
      <c r="D212" s="301"/>
      <c r="E212" s="301"/>
      <c r="F212" s="301"/>
      <c r="G212" s="301"/>
      <c r="H212" s="301"/>
    </row>
    <row r="213" spans="2:8" ht="18">
      <c r="B213" s="300"/>
      <c r="C213" s="301"/>
      <c r="D213" s="301"/>
      <c r="E213" s="301"/>
      <c r="F213" s="301"/>
      <c r="G213" s="301"/>
      <c r="H213" s="301"/>
    </row>
    <row r="214" spans="2:8" ht="18">
      <c r="B214" s="300"/>
      <c r="C214" s="301"/>
      <c r="D214" s="301"/>
      <c r="E214" s="301"/>
      <c r="F214" s="301"/>
      <c r="G214" s="301"/>
      <c r="H214" s="301"/>
    </row>
    <row r="215" spans="2:8" ht="18">
      <c r="B215" s="300"/>
      <c r="C215" s="301"/>
      <c r="D215" s="301"/>
      <c r="E215" s="301"/>
      <c r="F215" s="301"/>
      <c r="G215" s="301"/>
      <c r="H215" s="301"/>
    </row>
    <row r="216" spans="2:8" ht="18">
      <c r="B216" s="300"/>
      <c r="C216" s="301"/>
      <c r="D216" s="301"/>
      <c r="E216" s="301"/>
      <c r="F216" s="301"/>
      <c r="G216" s="301"/>
      <c r="H216" s="301"/>
    </row>
    <row r="217" spans="2:8" ht="18">
      <c r="B217" s="300"/>
      <c r="C217" s="301"/>
      <c r="D217" s="301"/>
      <c r="E217" s="301"/>
      <c r="F217" s="301"/>
      <c r="G217" s="301"/>
      <c r="H217" s="301"/>
    </row>
    <row r="218" spans="2:8" ht="18">
      <c r="B218" s="300"/>
      <c r="C218" s="301"/>
      <c r="D218" s="301"/>
      <c r="E218" s="301"/>
      <c r="F218" s="301"/>
      <c r="G218" s="301"/>
      <c r="H218" s="301"/>
    </row>
    <row r="219" spans="2:8" ht="18">
      <c r="B219" s="300"/>
      <c r="C219" s="301"/>
      <c r="D219" s="301"/>
      <c r="E219" s="301"/>
      <c r="F219" s="301"/>
      <c r="G219" s="301"/>
      <c r="H219" s="301"/>
    </row>
    <row r="220" spans="2:8" ht="18">
      <c r="B220" s="300"/>
      <c r="C220" s="301"/>
      <c r="D220" s="301"/>
      <c r="E220" s="301"/>
      <c r="F220" s="301"/>
      <c r="G220" s="301"/>
      <c r="H220" s="301"/>
    </row>
    <row r="221" spans="2:8" ht="18">
      <c r="B221" s="300"/>
      <c r="C221" s="301"/>
      <c r="D221" s="301"/>
      <c r="E221" s="301"/>
      <c r="F221" s="301"/>
      <c r="G221" s="301"/>
      <c r="H221" s="301"/>
    </row>
    <row r="222" spans="2:8" ht="18">
      <c r="B222" s="300"/>
      <c r="C222" s="301"/>
      <c r="D222" s="301"/>
      <c r="E222" s="301"/>
      <c r="F222" s="301"/>
      <c r="G222" s="301"/>
      <c r="H222" s="301"/>
    </row>
    <row r="223" spans="2:8" ht="18">
      <c r="B223" s="300"/>
      <c r="C223" s="301"/>
      <c r="D223" s="301"/>
      <c r="E223" s="301"/>
      <c r="F223" s="301"/>
      <c r="G223" s="301"/>
      <c r="H223" s="301"/>
    </row>
    <row r="224" spans="2:8" ht="18">
      <c r="B224" s="300"/>
      <c r="C224" s="301"/>
      <c r="D224" s="301"/>
      <c r="E224" s="301"/>
      <c r="F224" s="301"/>
      <c r="G224" s="301"/>
      <c r="H224" s="301"/>
    </row>
    <row r="225" spans="2:8" ht="18">
      <c r="B225" s="300"/>
      <c r="C225" s="301"/>
      <c r="D225" s="301"/>
      <c r="E225" s="301"/>
      <c r="F225" s="301"/>
      <c r="G225" s="301"/>
      <c r="H225" s="301"/>
    </row>
    <row r="226" spans="2:8" ht="18">
      <c r="B226" s="300"/>
      <c r="C226" s="301"/>
      <c r="D226" s="301"/>
      <c r="E226" s="301"/>
      <c r="F226" s="301"/>
      <c r="G226" s="301"/>
      <c r="H226" s="301"/>
    </row>
    <row r="227" spans="2:8" ht="18">
      <c r="B227" s="300"/>
      <c r="C227" s="301"/>
      <c r="D227" s="301"/>
      <c r="E227" s="301"/>
      <c r="F227" s="301"/>
      <c r="G227" s="301"/>
      <c r="H227" s="301"/>
    </row>
    <row r="228" spans="2:8" ht="18">
      <c r="B228" s="300"/>
      <c r="C228" s="301"/>
      <c r="D228" s="301"/>
      <c r="E228" s="301"/>
      <c r="F228" s="301"/>
      <c r="G228" s="301"/>
      <c r="H228" s="301"/>
    </row>
    <row r="229" spans="2:8" ht="18">
      <c r="B229" s="300"/>
      <c r="C229" s="301"/>
      <c r="D229" s="301"/>
      <c r="E229" s="301"/>
      <c r="F229" s="301"/>
      <c r="G229" s="301"/>
      <c r="H229" s="301"/>
    </row>
    <row r="230" spans="2:8" ht="18">
      <c r="B230" s="300"/>
      <c r="C230" s="301"/>
      <c r="D230" s="301"/>
      <c r="E230" s="301"/>
      <c r="F230" s="301"/>
      <c r="G230" s="301"/>
      <c r="H230" s="301"/>
    </row>
    <row r="231" spans="2:8" ht="18">
      <c r="B231" s="300"/>
      <c r="C231" s="301"/>
      <c r="D231" s="301"/>
      <c r="E231" s="301"/>
      <c r="F231" s="301"/>
      <c r="G231" s="301"/>
      <c r="H231" s="301"/>
    </row>
    <row r="232" spans="2:8" ht="18">
      <c r="B232" s="300"/>
      <c r="C232" s="301"/>
      <c r="D232" s="301"/>
      <c r="E232" s="301"/>
      <c r="F232" s="301"/>
      <c r="G232" s="301"/>
      <c r="H232" s="301"/>
    </row>
  </sheetData>
  <mergeCells count="17">
    <mergeCell ref="A1:H1"/>
    <mergeCell ref="B76:G76"/>
    <mergeCell ref="B47:G47"/>
    <mergeCell ref="B49:H49"/>
    <mergeCell ref="B50:H50"/>
    <mergeCell ref="B51:H51"/>
    <mergeCell ref="B2:H2"/>
    <mergeCell ref="B3:H3"/>
    <mergeCell ref="B4:H4"/>
    <mergeCell ref="B43:G43"/>
    <mergeCell ref="B72:G72"/>
    <mergeCell ref="B107:H107"/>
    <mergeCell ref="B77:H77"/>
    <mergeCell ref="B78:H78"/>
    <mergeCell ref="B79:H79"/>
    <mergeCell ref="B100:G100"/>
    <mergeCell ref="B104:G104"/>
  </mergeCells>
  <phoneticPr fontId="57" type="noConversion"/>
  <printOptions horizontalCentered="1"/>
  <pageMargins left="0.25" right="0.25" top="0.75" bottom="0.75" header="0.3" footer="0.3"/>
  <pageSetup scale="37" fitToHeight="0" orientation="landscape" r:id="rId1"/>
  <headerFooter alignWithMargins="0">
    <oddHeader>&amp;RCompliance Filing  Attachment A</oddHeader>
  </headerFooter>
  <rowBreaks count="2" manualBreakCount="2">
    <brk id="48" max="7" man="1"/>
    <brk id="76"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8B69B-ECDD-4168-9478-B1590DADAD99}">
  <sheetPr>
    <tabColor rgb="FF92D050"/>
    <pageSetUpPr fitToPage="1"/>
  </sheetPr>
  <dimension ref="A1:U304"/>
  <sheetViews>
    <sheetView topLeftCell="C1" zoomScale="80" zoomScaleNormal="80" zoomScalePageLayoutView="50" workbookViewId="0">
      <selection sqref="A1:H1"/>
    </sheetView>
  </sheetViews>
  <sheetFormatPr defaultColWidth="8.88671875" defaultRowHeight="15"/>
  <cols>
    <col min="1" max="1" width="6.88671875" style="563" customWidth="1"/>
    <col min="2" max="2" width="51.44140625" style="257" customWidth="1"/>
    <col min="3" max="3" width="22.109375" style="254" customWidth="1"/>
    <col min="4" max="4" width="21.5546875" style="254" customWidth="1"/>
    <col min="5" max="5" width="20.88671875" style="254" customWidth="1"/>
    <col min="6" max="6" width="16.6640625" style="254" customWidth="1"/>
    <col min="7" max="7" width="20.44140625" style="254" customWidth="1"/>
    <col min="8" max="8" width="114.6640625" style="254" bestFit="1" customWidth="1"/>
    <col min="9" max="16384" width="8.88671875" style="254"/>
  </cols>
  <sheetData>
    <row r="1" spans="1:21" ht="15.75">
      <c r="A1" s="999" t="s">
        <v>604</v>
      </c>
      <c r="B1" s="999"/>
      <c r="C1" s="999"/>
      <c r="D1" s="999"/>
      <c r="E1" s="999"/>
      <c r="F1" s="999"/>
      <c r="G1" s="999"/>
      <c r="H1" s="999"/>
    </row>
    <row r="2" spans="1:21" ht="18">
      <c r="B2" s="994" t="str">
        <f>'Appendix A'!$D$9</f>
        <v>HURLEY AVENUE PROJECT - SYSTEM DELIVERABILITY UPGRADE</v>
      </c>
      <c r="C2" s="1000"/>
      <c r="D2" s="1000"/>
      <c r="E2" s="1000"/>
      <c r="F2" s="1000"/>
      <c r="G2" s="1000"/>
      <c r="H2" s="1000"/>
      <c r="I2" s="253"/>
      <c r="J2" s="253"/>
    </row>
    <row r="3" spans="1:21" ht="18">
      <c r="B3" s="994" t="s">
        <v>268</v>
      </c>
      <c r="C3" s="994"/>
      <c r="D3" s="994"/>
      <c r="E3" s="994"/>
      <c r="F3" s="994"/>
      <c r="G3" s="994"/>
      <c r="H3" s="994"/>
      <c r="I3" s="253"/>
      <c r="J3" s="253"/>
    </row>
    <row r="4" spans="1:21" ht="18">
      <c r="B4" s="994" t="s">
        <v>129</v>
      </c>
      <c r="C4" s="994"/>
      <c r="D4" s="994"/>
      <c r="E4" s="994"/>
      <c r="F4" s="994"/>
      <c r="G4" s="994"/>
      <c r="H4" s="994"/>
      <c r="I4" s="253"/>
      <c r="J4" s="253"/>
    </row>
    <row r="5" spans="1:21" ht="18">
      <c r="B5" s="285"/>
      <c r="C5" s="285"/>
      <c r="D5" s="285"/>
      <c r="E5" s="285"/>
      <c r="F5" s="285"/>
      <c r="G5" s="285"/>
      <c r="H5" s="285"/>
      <c r="I5" s="253"/>
      <c r="J5" s="253"/>
    </row>
    <row r="6" spans="1:21" ht="18">
      <c r="B6" s="258"/>
      <c r="C6" s="259"/>
      <c r="D6" s="285"/>
      <c r="E6" s="285"/>
      <c r="F6" s="259"/>
      <c r="G6" s="280"/>
      <c r="H6" s="259"/>
    </row>
    <row r="7" spans="1:21" ht="15.75">
      <c r="B7" s="258"/>
      <c r="C7" s="259"/>
      <c r="D7" s="280" t="s">
        <v>38</v>
      </c>
      <c r="E7" s="280" t="s">
        <v>240</v>
      </c>
      <c r="F7" s="280" t="s">
        <v>238</v>
      </c>
      <c r="G7" s="280" t="s">
        <v>35</v>
      </c>
      <c r="H7" s="259"/>
      <c r="U7" s="255"/>
    </row>
    <row r="8" spans="1:21" ht="15.75">
      <c r="B8" s="260"/>
      <c r="C8" s="259"/>
      <c r="D8" s="280" t="s">
        <v>241</v>
      </c>
      <c r="E8" s="280" t="s">
        <v>241</v>
      </c>
      <c r="F8" s="280" t="s">
        <v>241</v>
      </c>
      <c r="G8" s="280"/>
      <c r="H8" s="259"/>
      <c r="U8" s="255"/>
    </row>
    <row r="9" spans="1:21" ht="15.75">
      <c r="B9" s="260"/>
      <c r="C9" s="259" t="s">
        <v>652</v>
      </c>
      <c r="D9" s="259"/>
      <c r="E9" s="259"/>
      <c r="F9" s="259"/>
      <c r="G9" s="259"/>
      <c r="H9" s="259"/>
    </row>
    <row r="10" spans="1:21" ht="15.75">
      <c r="A10" s="563">
        <v>1</v>
      </c>
      <c r="B10" s="260"/>
      <c r="C10" s="259" t="s">
        <v>425</v>
      </c>
      <c r="D10" s="382">
        <f>+E68-E56</f>
        <v>0</v>
      </c>
      <c r="E10" s="382">
        <f>+F68-F56</f>
        <v>0</v>
      </c>
      <c r="F10" s="382">
        <f>+G68-G56</f>
        <v>0</v>
      </c>
      <c r="G10" s="382"/>
      <c r="H10" s="259" t="s">
        <v>243</v>
      </c>
    </row>
    <row r="11" spans="1:21" ht="15.75">
      <c r="A11" s="563">
        <v>2</v>
      </c>
      <c r="B11" s="260"/>
      <c r="C11" s="259" t="s">
        <v>244</v>
      </c>
      <c r="D11" s="382">
        <f>+E97</f>
        <v>0</v>
      </c>
      <c r="E11" s="382">
        <f>+F97</f>
        <v>0</v>
      </c>
      <c r="F11" s="382">
        <f>+G97</f>
        <v>0</v>
      </c>
      <c r="G11" s="382"/>
      <c r="H11" s="259" t="s">
        <v>245</v>
      </c>
    </row>
    <row r="12" spans="1:21" ht="15.75">
      <c r="A12" s="563">
        <v>3</v>
      </c>
      <c r="B12" s="260"/>
      <c r="C12" s="259" t="s">
        <v>246</v>
      </c>
      <c r="D12" s="713">
        <f>+E40</f>
        <v>0</v>
      </c>
      <c r="E12" s="713">
        <f>F40</f>
        <v>0</v>
      </c>
      <c r="F12" s="713">
        <f>G40</f>
        <v>0</v>
      </c>
      <c r="G12" s="382"/>
      <c r="H12" s="259" t="s">
        <v>247</v>
      </c>
    </row>
    <row r="13" spans="1:21" ht="15.75">
      <c r="A13" s="563">
        <v>4</v>
      </c>
      <c r="B13" s="260"/>
      <c r="C13" s="259" t="s">
        <v>248</v>
      </c>
      <c r="D13" s="382">
        <f>+SUM(D10:D12)</f>
        <v>0</v>
      </c>
      <c r="E13" s="382">
        <f t="shared" ref="E13:F13" si="0">+SUM(E10:E12)</f>
        <v>0</v>
      </c>
      <c r="F13" s="382">
        <f t="shared" si="0"/>
        <v>0</v>
      </c>
      <c r="G13" s="382"/>
      <c r="H13" s="261"/>
    </row>
    <row r="14" spans="1:21" ht="15.75">
      <c r="A14" s="563">
        <v>5</v>
      </c>
      <c r="B14" s="260"/>
      <c r="C14" s="259" t="s">
        <v>249</v>
      </c>
      <c r="D14" s="382"/>
      <c r="E14" s="382"/>
      <c r="F14" s="713">
        <f>+'Appendix A'!J232</f>
        <v>0</v>
      </c>
      <c r="G14" s="382"/>
      <c r="H14" s="259" t="s">
        <v>279</v>
      </c>
    </row>
    <row r="15" spans="1:21" ht="15.75">
      <c r="A15" s="563">
        <v>6</v>
      </c>
      <c r="B15" s="260"/>
      <c r="C15" s="259" t="s">
        <v>542</v>
      </c>
      <c r="D15" s="382"/>
      <c r="E15" s="713">
        <f>+'Appendix A'!H82</f>
        <v>0</v>
      </c>
      <c r="F15" s="382"/>
      <c r="G15" s="382"/>
      <c r="H15" s="259" t="s">
        <v>279</v>
      </c>
    </row>
    <row r="16" spans="1:21" ht="15.75">
      <c r="A16" s="563">
        <v>7</v>
      </c>
      <c r="B16" s="260"/>
      <c r="C16" s="259" t="s">
        <v>250</v>
      </c>
      <c r="D16" s="382">
        <f>+D13</f>
        <v>0</v>
      </c>
      <c r="E16" s="382">
        <f>+E13*E15</f>
        <v>0</v>
      </c>
      <c r="F16" s="382">
        <f>+F14*F13</f>
        <v>0</v>
      </c>
      <c r="G16" s="382">
        <f>+D16+E16+F16</f>
        <v>0</v>
      </c>
      <c r="H16" s="262"/>
    </row>
    <row r="17" spans="1:8" ht="15.75">
      <c r="B17" s="258"/>
      <c r="C17" s="259"/>
      <c r="D17" s="261"/>
      <c r="E17" s="261"/>
      <c r="F17" s="261"/>
      <c r="G17" s="261"/>
      <c r="H17" s="262"/>
    </row>
    <row r="18" spans="1:8" ht="15.75">
      <c r="B18" s="259"/>
      <c r="C18" s="259"/>
      <c r="D18" s="259"/>
      <c r="E18" s="259"/>
      <c r="F18" s="259"/>
      <c r="G18" s="259"/>
      <c r="H18" s="261"/>
    </row>
    <row r="19" spans="1:8" ht="15.75">
      <c r="B19" s="259"/>
      <c r="C19" s="259"/>
      <c r="D19" s="261"/>
      <c r="E19" s="259"/>
      <c r="F19" s="259"/>
      <c r="G19" s="259"/>
      <c r="H19" s="245"/>
    </row>
    <row r="20" spans="1:8" ht="15.75">
      <c r="B20" s="259"/>
      <c r="C20" s="259"/>
      <c r="D20" s="259"/>
      <c r="E20" s="259"/>
      <c r="F20" s="259"/>
      <c r="G20" s="259"/>
      <c r="H20" s="263"/>
    </row>
    <row r="21" spans="1:8" ht="15.75">
      <c r="B21" s="258" t="s">
        <v>251</v>
      </c>
      <c r="C21" s="259"/>
      <c r="D21" s="259"/>
      <c r="E21" s="259"/>
      <c r="F21" s="259"/>
      <c r="G21" s="259"/>
      <c r="H21" s="259"/>
    </row>
    <row r="22" spans="1:8" ht="15.75">
      <c r="B22" s="258" t="s">
        <v>417</v>
      </c>
      <c r="C22" s="259"/>
      <c r="D22" s="259"/>
      <c r="E22" s="259"/>
      <c r="F22" s="259"/>
      <c r="G22" s="259"/>
      <c r="H22" s="259"/>
    </row>
    <row r="23" spans="1:8" ht="15.75">
      <c r="B23" s="280" t="s">
        <v>85</v>
      </c>
      <c r="C23" s="280" t="s">
        <v>86</v>
      </c>
      <c r="D23" s="280" t="s">
        <v>87</v>
      </c>
      <c r="E23" s="280" t="s">
        <v>88</v>
      </c>
      <c r="F23" s="280" t="s">
        <v>89</v>
      </c>
      <c r="G23" s="280" t="s">
        <v>90</v>
      </c>
      <c r="H23" s="280" t="s">
        <v>91</v>
      </c>
    </row>
    <row r="24" spans="1:8" ht="18">
      <c r="B24" s="258"/>
      <c r="C24" s="280" t="s">
        <v>35</v>
      </c>
      <c r="D24" s="280" t="s">
        <v>252</v>
      </c>
      <c r="E24" s="285"/>
      <c r="F24" s="285"/>
      <c r="G24" s="285"/>
      <c r="H24" s="259"/>
    </row>
    <row r="25" spans="1:8" ht="15.75">
      <c r="B25" s="258" t="s">
        <v>246</v>
      </c>
      <c r="C25" s="280"/>
      <c r="D25" s="280" t="s">
        <v>253</v>
      </c>
      <c r="E25" s="280" t="s">
        <v>38</v>
      </c>
      <c r="F25" s="280" t="s">
        <v>240</v>
      </c>
      <c r="G25" s="280" t="s">
        <v>238</v>
      </c>
      <c r="H25" s="259"/>
    </row>
    <row r="26" spans="1:8" ht="15.75">
      <c r="B26" s="258"/>
      <c r="C26" s="280"/>
      <c r="D26" s="280" t="s">
        <v>241</v>
      </c>
      <c r="E26" s="280" t="s">
        <v>241</v>
      </c>
      <c r="F26" s="280" t="s">
        <v>241</v>
      </c>
      <c r="G26" s="280" t="s">
        <v>241</v>
      </c>
      <c r="H26" s="280" t="s">
        <v>254</v>
      </c>
    </row>
    <row r="27" spans="1:8" ht="35.1" customHeight="1">
      <c r="A27" s="709">
        <f>+A16+1</f>
        <v>8</v>
      </c>
      <c r="B27" s="267" t="s">
        <v>541</v>
      </c>
      <c r="C27" s="264">
        <f>SUM(D27:G27)</f>
        <v>0</v>
      </c>
      <c r="D27" s="265"/>
      <c r="E27" s="265"/>
      <c r="F27" s="265"/>
      <c r="G27" s="265"/>
      <c r="H27" s="266" t="s">
        <v>600</v>
      </c>
    </row>
    <row r="28" spans="1:8" ht="35.1" customHeight="1">
      <c r="A28" s="709">
        <f>+A27+1</f>
        <v>9</v>
      </c>
      <c r="B28" s="267"/>
      <c r="C28" s="264">
        <f>SUM(D28:G28)</f>
        <v>0</v>
      </c>
      <c r="D28" s="265"/>
      <c r="E28" s="265"/>
      <c r="F28" s="265"/>
      <c r="G28" s="265"/>
      <c r="H28" s="266"/>
    </row>
    <row r="29" spans="1:8" ht="35.1" customHeight="1">
      <c r="A29" s="709">
        <f t="shared" ref="A29:A40" si="1">+A28+1</f>
        <v>10</v>
      </c>
      <c r="B29" s="267"/>
      <c r="C29" s="264">
        <f>SUM(D29:G29)</f>
        <v>0</v>
      </c>
      <c r="D29" s="265"/>
      <c r="E29" s="265"/>
      <c r="F29" s="265"/>
      <c r="G29" s="265"/>
      <c r="H29" s="266"/>
    </row>
    <row r="30" spans="1:8" ht="35.1" customHeight="1">
      <c r="A30" s="709">
        <f t="shared" si="1"/>
        <v>11</v>
      </c>
      <c r="B30" s="267"/>
      <c r="C30" s="264">
        <f>SUM(D30:G30)</f>
        <v>0</v>
      </c>
      <c r="D30" s="265"/>
      <c r="E30" s="265"/>
      <c r="F30" s="265"/>
      <c r="G30" s="265"/>
      <c r="H30" s="266"/>
    </row>
    <row r="31" spans="1:8" ht="35.1" customHeight="1">
      <c r="A31" s="709">
        <f t="shared" si="1"/>
        <v>12</v>
      </c>
      <c r="B31" s="267"/>
      <c r="C31" s="264">
        <f>SUM(D31:G31)</f>
        <v>0</v>
      </c>
      <c r="D31" s="265"/>
      <c r="E31" s="265"/>
      <c r="F31" s="265"/>
      <c r="G31" s="265"/>
      <c r="H31" s="266"/>
    </row>
    <row r="32" spans="1:8" ht="35.1" customHeight="1">
      <c r="A32" s="709">
        <f t="shared" si="1"/>
        <v>13</v>
      </c>
      <c r="B32" s="267"/>
      <c r="C32" s="264"/>
      <c r="D32" s="265"/>
      <c r="E32" s="265"/>
      <c r="F32" s="265"/>
      <c r="G32" s="265"/>
      <c r="H32" s="266"/>
    </row>
    <row r="33" spans="1:8" ht="35.1" customHeight="1">
      <c r="A33" s="709">
        <f t="shared" si="1"/>
        <v>14</v>
      </c>
      <c r="B33" s="267"/>
      <c r="C33" s="264"/>
      <c r="D33" s="265"/>
      <c r="E33" s="265"/>
      <c r="F33" s="265"/>
      <c r="G33" s="265"/>
      <c r="H33" s="266"/>
    </row>
    <row r="34" spans="1:8" ht="35.1" customHeight="1">
      <c r="A34" s="709">
        <f t="shared" si="1"/>
        <v>15</v>
      </c>
      <c r="B34" s="267"/>
      <c r="C34" s="264"/>
      <c r="D34" s="268"/>
      <c r="E34" s="265"/>
      <c r="F34" s="265"/>
      <c r="G34" s="265"/>
      <c r="H34" s="266"/>
    </row>
    <row r="35" spans="1:8" ht="35.1" customHeight="1">
      <c r="A35" s="709">
        <f t="shared" si="1"/>
        <v>16</v>
      </c>
      <c r="B35" s="267"/>
      <c r="C35" s="264"/>
      <c r="D35" s="265"/>
      <c r="E35" s="265"/>
      <c r="F35" s="265"/>
      <c r="G35" s="265"/>
      <c r="H35" s="266"/>
    </row>
    <row r="36" spans="1:8" ht="35.1" customHeight="1">
      <c r="A36" s="709">
        <f t="shared" si="1"/>
        <v>17</v>
      </c>
      <c r="B36" s="267"/>
      <c r="C36" s="264"/>
      <c r="D36" s="264"/>
      <c r="E36" s="264"/>
      <c r="F36" s="264"/>
      <c r="G36" s="264"/>
      <c r="H36" s="266"/>
    </row>
    <row r="37" spans="1:8" ht="35.1" customHeight="1">
      <c r="A37" s="709">
        <f t="shared" si="1"/>
        <v>18</v>
      </c>
      <c r="B37" s="286" t="s">
        <v>255</v>
      </c>
      <c r="C37" s="287">
        <f>SUBTOTAL(9,C27:C36)</f>
        <v>0</v>
      </c>
      <c r="D37" s="279">
        <f>SUM(D27:D36)</f>
        <v>0</v>
      </c>
      <c r="E37" s="279">
        <f>SUM(E27:E36)</f>
        <v>0</v>
      </c>
      <c r="F37" s="279">
        <f>SUM(F27:F36)</f>
        <v>0</v>
      </c>
      <c r="G37" s="279">
        <f>SUM(G27:G36)</f>
        <v>0</v>
      </c>
      <c r="H37" s="269"/>
    </row>
    <row r="38" spans="1:8" ht="35.1" customHeight="1">
      <c r="A38" s="709">
        <f t="shared" si="1"/>
        <v>19</v>
      </c>
      <c r="B38" s="288" t="s">
        <v>256</v>
      </c>
      <c r="C38" s="270">
        <f>SUM(D38:E38)</f>
        <v>0</v>
      </c>
      <c r="D38" s="270"/>
      <c r="E38" s="270"/>
      <c r="F38" s="271"/>
      <c r="G38" s="272"/>
      <c r="H38" s="266"/>
    </row>
    <row r="39" spans="1:8" ht="35.1" customHeight="1">
      <c r="A39" s="709">
        <f t="shared" si="1"/>
        <v>20</v>
      </c>
      <c r="B39" s="289" t="s">
        <v>257</v>
      </c>
      <c r="C39" s="270">
        <f>SUM(D39:E39)</f>
        <v>0</v>
      </c>
      <c r="D39" s="273"/>
      <c r="E39" s="273">
        <v>0</v>
      </c>
      <c r="F39" s="273"/>
      <c r="G39" s="273"/>
      <c r="H39" s="274"/>
    </row>
    <row r="40" spans="1:8" ht="35.1" customHeight="1" thickBot="1">
      <c r="A40" s="709">
        <f t="shared" si="1"/>
        <v>21</v>
      </c>
      <c r="B40" s="290" t="s">
        <v>35</v>
      </c>
      <c r="C40" s="291">
        <f>+SUM(D40:G40)</f>
        <v>0</v>
      </c>
      <c r="D40" s="291">
        <f>+D37-D38-D39</f>
        <v>0</v>
      </c>
      <c r="E40" s="291">
        <f>+E37-E38-E39</f>
        <v>0</v>
      </c>
      <c r="F40" s="291">
        <f>+F37-F38-F39</f>
        <v>0</v>
      </c>
      <c r="G40" s="291">
        <f>+G37-G38-G39</f>
        <v>0</v>
      </c>
      <c r="H40" s="292"/>
    </row>
    <row r="41" spans="1:8" ht="35.1" customHeight="1" thickTop="1">
      <c r="B41" s="259" t="s">
        <v>258</v>
      </c>
      <c r="C41" s="261"/>
      <c r="D41" s="281"/>
      <c r="E41" s="280"/>
      <c r="F41" s="259"/>
      <c r="G41" s="293"/>
      <c r="H41" s="259"/>
    </row>
    <row r="42" spans="1:8" ht="15.75">
      <c r="B42" s="997" t="s">
        <v>259</v>
      </c>
      <c r="C42" s="997"/>
      <c r="D42" s="997"/>
      <c r="E42" s="997"/>
      <c r="F42" s="997"/>
      <c r="G42" s="997"/>
      <c r="H42" s="259"/>
    </row>
    <row r="43" spans="1:8" ht="15.75">
      <c r="B43" s="258" t="s">
        <v>260</v>
      </c>
      <c r="C43" s="259"/>
      <c r="D43" s="259"/>
      <c r="E43" s="259"/>
      <c r="F43" s="280"/>
      <c r="G43" s="280"/>
      <c r="H43" s="259"/>
    </row>
    <row r="44" spans="1:8" ht="15.75">
      <c r="B44" s="258" t="s">
        <v>261</v>
      </c>
      <c r="C44" s="259"/>
      <c r="D44" s="259"/>
      <c r="E44" s="259"/>
      <c r="F44" s="280"/>
      <c r="G44" s="280"/>
      <c r="H44" s="259"/>
    </row>
    <row r="45" spans="1:8" ht="15.75">
      <c r="B45" s="258" t="s">
        <v>262</v>
      </c>
      <c r="C45" s="259"/>
      <c r="D45" s="259"/>
      <c r="E45" s="259"/>
      <c r="F45" s="280"/>
      <c r="G45" s="280"/>
      <c r="H45" s="259"/>
    </row>
    <row r="46" spans="1:8" ht="15.75">
      <c r="B46" s="259" t="s">
        <v>401</v>
      </c>
      <c r="C46" s="259"/>
      <c r="D46" s="259"/>
      <c r="E46" s="259"/>
      <c r="F46" s="259"/>
      <c r="G46" s="259"/>
      <c r="H46" s="275"/>
    </row>
    <row r="47" spans="1:8" ht="35.1" customHeight="1">
      <c r="B47" s="275"/>
      <c r="C47" s="275"/>
      <c r="D47" s="275"/>
      <c r="E47" s="275"/>
      <c r="F47" s="275"/>
      <c r="G47" s="275"/>
      <c r="H47" s="275"/>
    </row>
    <row r="48" spans="1:8" s="253" customFormat="1" ht="24.95" customHeight="1">
      <c r="A48" s="564"/>
      <c r="B48" s="991" t="str">
        <f>+B2</f>
        <v>HURLEY AVENUE PROJECT - SYSTEM DELIVERABILITY UPGRADE</v>
      </c>
      <c r="C48" s="992"/>
      <c r="D48" s="992"/>
      <c r="E48" s="992"/>
      <c r="F48" s="992"/>
      <c r="G48" s="992"/>
      <c r="H48" s="992"/>
    </row>
    <row r="49" spans="1:8" s="253" customFormat="1" ht="24.95" customHeight="1">
      <c r="A49" s="564"/>
      <c r="B49" s="991" t="s">
        <v>268</v>
      </c>
      <c r="C49" s="991"/>
      <c r="D49" s="991"/>
      <c r="E49" s="991"/>
      <c r="F49" s="991"/>
      <c r="G49" s="991"/>
      <c r="H49" s="991"/>
    </row>
    <row r="50" spans="1:8" s="253" customFormat="1" ht="24.95" customHeight="1">
      <c r="A50" s="564"/>
      <c r="B50" s="994" t="s">
        <v>129</v>
      </c>
      <c r="C50" s="994"/>
      <c r="D50" s="994"/>
      <c r="E50" s="994"/>
      <c r="F50" s="994"/>
      <c r="G50" s="994"/>
      <c r="H50" s="994"/>
    </row>
    <row r="51" spans="1:8" ht="24.95" customHeight="1">
      <c r="B51" s="259"/>
      <c r="C51" s="259"/>
      <c r="D51" s="259"/>
      <c r="E51" s="259"/>
      <c r="F51" s="259"/>
      <c r="G51" s="259"/>
      <c r="H51" s="259"/>
    </row>
    <row r="52" spans="1:8" ht="24.95" customHeight="1">
      <c r="B52" s="280" t="s">
        <v>85</v>
      </c>
      <c r="C52" s="280" t="s">
        <v>86</v>
      </c>
      <c r="D52" s="280" t="s">
        <v>87</v>
      </c>
      <c r="E52" s="280" t="s">
        <v>88</v>
      </c>
      <c r="F52" s="280" t="s">
        <v>89</v>
      </c>
      <c r="G52" s="280" t="s">
        <v>90</v>
      </c>
      <c r="H52" s="280" t="s">
        <v>91</v>
      </c>
    </row>
    <row r="53" spans="1:8" ht="24.95" customHeight="1">
      <c r="B53" s="259"/>
      <c r="C53" s="280" t="s">
        <v>35</v>
      </c>
      <c r="D53" s="280" t="s">
        <v>252</v>
      </c>
      <c r="E53" s="285"/>
      <c r="F53" s="285"/>
      <c r="G53" s="285"/>
      <c r="H53" s="259"/>
    </row>
    <row r="54" spans="1:8" ht="24.95" customHeight="1">
      <c r="B54" s="259" t="s">
        <v>242</v>
      </c>
      <c r="C54" s="280"/>
      <c r="D54" s="280" t="s">
        <v>253</v>
      </c>
      <c r="E54" s="280" t="s">
        <v>38</v>
      </c>
      <c r="F54" s="280" t="s">
        <v>240</v>
      </c>
      <c r="G54" s="280" t="s">
        <v>238</v>
      </c>
      <c r="H54" s="259"/>
    </row>
    <row r="55" spans="1:8" ht="24.95" customHeight="1">
      <c r="B55" s="258"/>
      <c r="C55" s="280"/>
      <c r="D55" s="280" t="s">
        <v>241</v>
      </c>
      <c r="E55" s="280" t="s">
        <v>241</v>
      </c>
      <c r="F55" s="280" t="s">
        <v>241</v>
      </c>
      <c r="G55" s="280" t="s">
        <v>241</v>
      </c>
      <c r="H55" s="280" t="s">
        <v>254</v>
      </c>
    </row>
    <row r="56" spans="1:8" ht="35.1" customHeight="1">
      <c r="A56" s="709">
        <f>+A40+1</f>
        <v>22</v>
      </c>
      <c r="B56" s="267" t="s">
        <v>431</v>
      </c>
      <c r="C56" s="264"/>
      <c r="D56" s="265"/>
      <c r="E56" s="265"/>
      <c r="F56" s="265"/>
      <c r="G56" s="265"/>
      <c r="H56" s="266" t="s">
        <v>598</v>
      </c>
    </row>
    <row r="57" spans="1:8" ht="35.1" customHeight="1">
      <c r="A57" s="709">
        <f>+A56+1</f>
        <v>23</v>
      </c>
      <c r="B57" s="267"/>
      <c r="C57" s="264"/>
      <c r="D57" s="265"/>
      <c r="E57" s="265"/>
      <c r="F57" s="265"/>
      <c r="G57" s="265"/>
      <c r="H57" s="266"/>
    </row>
    <row r="58" spans="1:8" ht="35.1" customHeight="1">
      <c r="A58" s="709">
        <f t="shared" ref="A58:A68" si="2">+A57+1</f>
        <v>24</v>
      </c>
      <c r="B58" s="267"/>
      <c r="C58" s="264"/>
      <c r="D58" s="265"/>
      <c r="E58" s="265"/>
      <c r="F58" s="265"/>
      <c r="G58" s="265"/>
      <c r="H58" s="266"/>
    </row>
    <row r="59" spans="1:8" ht="35.1" customHeight="1">
      <c r="A59" s="709">
        <f t="shared" si="2"/>
        <v>25</v>
      </c>
      <c r="B59" s="267"/>
      <c r="C59" s="264"/>
      <c r="D59" s="265"/>
      <c r="E59" s="265"/>
      <c r="F59" s="265"/>
      <c r="G59" s="265"/>
      <c r="H59" s="266"/>
    </row>
    <row r="60" spans="1:8" ht="35.1" customHeight="1">
      <c r="A60" s="709">
        <f t="shared" si="2"/>
        <v>26</v>
      </c>
      <c r="B60" s="267"/>
      <c r="C60" s="265"/>
      <c r="D60" s="265"/>
      <c r="E60" s="265"/>
      <c r="F60" s="265"/>
      <c r="G60" s="265"/>
      <c r="H60" s="266"/>
    </row>
    <row r="61" spans="1:8" ht="35.1" customHeight="1">
      <c r="A61" s="709">
        <f t="shared" si="2"/>
        <v>27</v>
      </c>
      <c r="B61" s="267"/>
      <c r="C61" s="265"/>
      <c r="D61" s="265"/>
      <c r="E61" s="265"/>
      <c r="F61" s="265"/>
      <c r="G61" s="265"/>
      <c r="H61" s="266"/>
    </row>
    <row r="62" spans="1:8" ht="35.1" customHeight="1">
      <c r="A62" s="709">
        <f t="shared" si="2"/>
        <v>28</v>
      </c>
      <c r="B62" s="276"/>
      <c r="C62" s="277"/>
      <c r="D62" s="277"/>
      <c r="E62" s="277"/>
      <c r="F62" s="277"/>
      <c r="G62" s="277"/>
      <c r="H62" s="266"/>
    </row>
    <row r="63" spans="1:8" ht="35.1" customHeight="1">
      <c r="A63" s="709">
        <f t="shared" si="2"/>
        <v>29</v>
      </c>
      <c r="B63" s="278"/>
      <c r="C63" s="277"/>
      <c r="D63" s="277"/>
      <c r="E63" s="277"/>
      <c r="F63" s="277"/>
      <c r="G63" s="277"/>
      <c r="H63" s="266"/>
    </row>
    <row r="64" spans="1:8" ht="35.1" customHeight="1">
      <c r="A64" s="709">
        <f t="shared" si="2"/>
        <v>30</v>
      </c>
      <c r="B64" s="278"/>
      <c r="C64" s="277"/>
      <c r="D64" s="277"/>
      <c r="E64" s="277"/>
      <c r="F64" s="277"/>
      <c r="G64" s="277"/>
      <c r="H64" s="266"/>
    </row>
    <row r="65" spans="1:8" ht="35.1" customHeight="1">
      <c r="A65" s="709">
        <f t="shared" si="2"/>
        <v>31</v>
      </c>
      <c r="B65" s="294" t="s">
        <v>263</v>
      </c>
      <c r="C65" s="279">
        <f>SUBTOTAL(9,C56:C64)</f>
        <v>0</v>
      </c>
      <c r="D65" s="279">
        <f>SUM(D56:D64)</f>
        <v>0</v>
      </c>
      <c r="E65" s="279">
        <f>SUM(E56:E64)</f>
        <v>0</v>
      </c>
      <c r="F65" s="279">
        <f>SUM(F56:F64)</f>
        <v>0</v>
      </c>
      <c r="G65" s="279">
        <f>SUM(G56:G64)</f>
        <v>0</v>
      </c>
      <c r="H65" s="269"/>
    </row>
    <row r="66" spans="1:8" ht="35.1" customHeight="1">
      <c r="A66" s="709">
        <f t="shared" si="2"/>
        <v>32</v>
      </c>
      <c r="B66" s="294" t="s">
        <v>256</v>
      </c>
      <c r="C66" s="270">
        <f>SUM(D66:E66)</f>
        <v>0</v>
      </c>
      <c r="D66" s="270"/>
      <c r="E66" s="270"/>
      <c r="F66" s="270"/>
      <c r="G66" s="270"/>
      <c r="H66" s="266"/>
    </row>
    <row r="67" spans="1:8" ht="35.1" customHeight="1">
      <c r="A67" s="709">
        <f t="shared" si="2"/>
        <v>33</v>
      </c>
      <c r="B67" s="295" t="s">
        <v>257</v>
      </c>
      <c r="C67" s="270">
        <f>SUM(D67:E67)</f>
        <v>0</v>
      </c>
      <c r="D67" s="273"/>
      <c r="E67" s="273">
        <v>0</v>
      </c>
      <c r="F67" s="273"/>
      <c r="G67" s="273"/>
      <c r="H67" s="274"/>
    </row>
    <row r="68" spans="1:8" ht="35.1" customHeight="1" thickBot="1">
      <c r="A68" s="709">
        <f t="shared" si="2"/>
        <v>34</v>
      </c>
      <c r="B68" s="290" t="s">
        <v>35</v>
      </c>
      <c r="C68" s="291">
        <f>+SUM(D68:G68)</f>
        <v>0</v>
      </c>
      <c r="D68" s="291">
        <f>+D65-D66-D67</f>
        <v>0</v>
      </c>
      <c r="E68" s="291">
        <f>+E65-E66-E67</f>
        <v>0</v>
      </c>
      <c r="F68" s="291">
        <f>+F65-F66-F67</f>
        <v>0</v>
      </c>
      <c r="G68" s="291">
        <f>+G65-G66-G67</f>
        <v>0</v>
      </c>
      <c r="H68" s="292"/>
    </row>
    <row r="69" spans="1:8" ht="35.1" customHeight="1" thickTop="1">
      <c r="A69" s="709"/>
      <c r="B69" s="258"/>
      <c r="C69" s="259"/>
      <c r="D69" s="259"/>
      <c r="E69" s="261"/>
      <c r="F69" s="280"/>
      <c r="G69" s="281"/>
      <c r="H69" s="275"/>
    </row>
    <row r="70" spans="1:8" ht="35.1" customHeight="1">
      <c r="B70" s="259" t="s">
        <v>264</v>
      </c>
      <c r="C70" s="259"/>
      <c r="D70" s="280"/>
      <c r="E70" s="281"/>
      <c r="F70" s="259"/>
      <c r="G70" s="275"/>
      <c r="H70" s="259"/>
    </row>
    <row r="71" spans="1:8" ht="15.75">
      <c r="B71" s="259" t="s">
        <v>259</v>
      </c>
      <c r="C71" s="259"/>
      <c r="D71" s="259"/>
      <c r="E71" s="259"/>
      <c r="F71" s="259"/>
      <c r="G71" s="259"/>
      <c r="H71" s="259"/>
    </row>
    <row r="72" spans="1:8" ht="15.75">
      <c r="B72" s="258" t="s">
        <v>260</v>
      </c>
      <c r="C72" s="259"/>
      <c r="D72" s="259"/>
      <c r="E72" s="259"/>
      <c r="F72" s="280"/>
      <c r="G72" s="280"/>
      <c r="H72" s="259"/>
    </row>
    <row r="73" spans="1:8" ht="15.75">
      <c r="B73" s="258" t="s">
        <v>261</v>
      </c>
      <c r="C73" s="259"/>
      <c r="D73" s="259"/>
      <c r="E73" s="259"/>
      <c r="F73" s="280"/>
      <c r="G73" s="280"/>
      <c r="H73" s="259"/>
    </row>
    <row r="74" spans="1:8" ht="15.75">
      <c r="B74" s="258" t="s">
        <v>262</v>
      </c>
      <c r="C74" s="259"/>
      <c r="D74" s="259"/>
      <c r="E74" s="259"/>
      <c r="F74" s="280"/>
      <c r="G74" s="280"/>
      <c r="H74" s="259"/>
    </row>
    <row r="75" spans="1:8" ht="15.75">
      <c r="B75" s="259" t="s">
        <v>401</v>
      </c>
      <c r="C75" s="259"/>
      <c r="D75" s="259"/>
      <c r="E75" s="259"/>
      <c r="F75" s="259"/>
      <c r="G75" s="259"/>
      <c r="H75" s="275"/>
    </row>
    <row r="76" spans="1:8" s="253" customFormat="1" ht="24.95" customHeight="1">
      <c r="A76" s="564"/>
      <c r="B76" s="991" t="str">
        <f>+B48</f>
        <v>HURLEY AVENUE PROJECT - SYSTEM DELIVERABILITY UPGRADE</v>
      </c>
      <c r="C76" s="992"/>
      <c r="D76" s="992"/>
      <c r="E76" s="992"/>
      <c r="F76" s="992"/>
      <c r="G76" s="992"/>
      <c r="H76" s="992"/>
    </row>
    <row r="77" spans="1:8" s="253" customFormat="1" ht="24.95" customHeight="1">
      <c r="A77" s="564"/>
      <c r="B77" s="991" t="s">
        <v>268</v>
      </c>
      <c r="C77" s="991"/>
      <c r="D77" s="991"/>
      <c r="E77" s="991"/>
      <c r="F77" s="991"/>
      <c r="G77" s="991"/>
      <c r="H77" s="991"/>
    </row>
    <row r="78" spans="1:8" s="253" customFormat="1" ht="24.95" customHeight="1">
      <c r="A78" s="564"/>
      <c r="B78" s="994" t="s">
        <v>129</v>
      </c>
      <c r="C78" s="994"/>
      <c r="D78" s="994"/>
      <c r="E78" s="994"/>
      <c r="F78" s="994"/>
      <c r="G78" s="994"/>
      <c r="H78" s="994"/>
    </row>
    <row r="79" spans="1:8" ht="24.95" customHeight="1">
      <c r="B79" s="258"/>
      <c r="C79" s="259"/>
      <c r="D79" s="259"/>
      <c r="E79" s="259"/>
      <c r="F79" s="259"/>
      <c r="G79" s="259"/>
      <c r="H79" s="275"/>
    </row>
    <row r="80" spans="1:8" ht="35.1" customHeight="1">
      <c r="B80" s="280" t="s">
        <v>85</v>
      </c>
      <c r="C80" s="280" t="s">
        <v>86</v>
      </c>
      <c r="D80" s="280" t="s">
        <v>87</v>
      </c>
      <c r="E80" s="280" t="s">
        <v>88</v>
      </c>
      <c r="F80" s="280" t="s">
        <v>89</v>
      </c>
      <c r="G80" s="280" t="s">
        <v>90</v>
      </c>
      <c r="H80" s="280" t="s">
        <v>91</v>
      </c>
    </row>
    <row r="81" spans="1:8" ht="30" customHeight="1">
      <c r="B81" s="259"/>
      <c r="C81" s="280" t="s">
        <v>35</v>
      </c>
      <c r="D81" s="280" t="s">
        <v>252</v>
      </c>
      <c r="E81" s="285"/>
      <c r="F81" s="285"/>
      <c r="G81" s="285"/>
      <c r="H81" s="259"/>
    </row>
    <row r="82" spans="1:8" ht="30" customHeight="1">
      <c r="B82" s="259" t="s">
        <v>269</v>
      </c>
      <c r="C82" s="280"/>
      <c r="D82" s="280" t="s">
        <v>253</v>
      </c>
      <c r="E82" s="280" t="s">
        <v>38</v>
      </c>
      <c r="F82" s="280" t="s">
        <v>240</v>
      </c>
      <c r="G82" s="280" t="s">
        <v>238</v>
      </c>
      <c r="H82" s="259"/>
    </row>
    <row r="83" spans="1:8" ht="30" customHeight="1">
      <c r="B83" s="259"/>
      <c r="C83" s="280"/>
      <c r="D83" s="280" t="s">
        <v>241</v>
      </c>
      <c r="E83" s="280" t="s">
        <v>241</v>
      </c>
      <c r="F83" s="280" t="s">
        <v>241</v>
      </c>
      <c r="G83" s="280" t="s">
        <v>241</v>
      </c>
      <c r="H83" s="259"/>
    </row>
    <row r="84" spans="1:8" ht="35.1" customHeight="1">
      <c r="A84" s="709">
        <f>+A68+1</f>
        <v>35</v>
      </c>
      <c r="B84" s="267"/>
      <c r="C84" s="264"/>
      <c r="D84" s="265"/>
      <c r="E84" s="265"/>
      <c r="F84" s="265"/>
      <c r="G84" s="265"/>
      <c r="H84" s="266"/>
    </row>
    <row r="85" spans="1:8" ht="35.1" customHeight="1">
      <c r="A85" s="709">
        <f>+A84+1</f>
        <v>36</v>
      </c>
      <c r="B85" s="267"/>
      <c r="C85" s="264"/>
      <c r="D85" s="265"/>
      <c r="E85" s="265"/>
      <c r="F85" s="265"/>
      <c r="G85" s="265"/>
      <c r="H85" s="266"/>
    </row>
    <row r="86" spans="1:8" ht="35.1" customHeight="1">
      <c r="A86" s="709">
        <f t="shared" ref="A86:A97" si="3">+A85+1</f>
        <v>37</v>
      </c>
      <c r="B86" s="267"/>
      <c r="C86" s="264"/>
      <c r="D86" s="265"/>
      <c r="E86" s="265"/>
      <c r="F86" s="265"/>
      <c r="G86" s="265"/>
      <c r="H86" s="266"/>
    </row>
    <row r="87" spans="1:8" ht="35.1" customHeight="1">
      <c r="A87" s="709">
        <f t="shared" si="3"/>
        <v>38</v>
      </c>
      <c r="B87" s="267"/>
      <c r="C87" s="264"/>
      <c r="D87" s="265"/>
      <c r="E87" s="265"/>
      <c r="F87" s="265"/>
      <c r="G87" s="265"/>
      <c r="H87" s="266"/>
    </row>
    <row r="88" spans="1:8" ht="35.1" customHeight="1">
      <c r="A88" s="709">
        <f t="shared" si="3"/>
        <v>39</v>
      </c>
      <c r="B88" s="267"/>
      <c r="C88" s="265"/>
      <c r="D88" s="277"/>
      <c r="E88" s="265"/>
      <c r="F88" s="265"/>
      <c r="G88" s="265"/>
      <c r="H88" s="266"/>
    </row>
    <row r="89" spans="1:8" ht="35.1" customHeight="1">
      <c r="A89" s="709">
        <f t="shared" si="3"/>
        <v>40</v>
      </c>
      <c r="B89" s="267"/>
      <c r="C89" s="265"/>
      <c r="D89" s="277"/>
      <c r="E89" s="265"/>
      <c r="F89" s="265"/>
      <c r="G89" s="265"/>
      <c r="H89" s="266"/>
    </row>
    <row r="90" spans="1:8" ht="35.1" customHeight="1">
      <c r="A90" s="709">
        <f t="shared" si="3"/>
        <v>41</v>
      </c>
      <c r="B90" s="267"/>
      <c r="C90" s="265"/>
      <c r="D90" s="277"/>
      <c r="E90" s="265"/>
      <c r="F90" s="265"/>
      <c r="G90" s="265"/>
      <c r="H90" s="266"/>
    </row>
    <row r="91" spans="1:8" ht="35.1" customHeight="1">
      <c r="A91" s="709">
        <f t="shared" si="3"/>
        <v>42</v>
      </c>
      <c r="B91" s="267"/>
      <c r="C91" s="265"/>
      <c r="D91" s="268"/>
      <c r="E91" s="265"/>
      <c r="F91" s="265"/>
      <c r="G91" s="265"/>
      <c r="H91" s="266"/>
    </row>
    <row r="92" spans="1:8" ht="35.1" customHeight="1">
      <c r="A92" s="709">
        <f t="shared" si="3"/>
        <v>43</v>
      </c>
      <c r="B92" s="267"/>
      <c r="C92" s="265"/>
      <c r="D92" s="265"/>
      <c r="E92" s="265"/>
      <c r="F92" s="265"/>
      <c r="G92" s="265"/>
      <c r="H92" s="266"/>
    </row>
    <row r="93" spans="1:8" ht="35.1" customHeight="1">
      <c r="A93" s="709">
        <f t="shared" si="3"/>
        <v>44</v>
      </c>
      <c r="B93" s="267"/>
      <c r="C93" s="265"/>
      <c r="D93" s="265"/>
      <c r="E93" s="265"/>
      <c r="F93" s="265"/>
      <c r="G93" s="265"/>
      <c r="H93" s="266"/>
    </row>
    <row r="94" spans="1:8" ht="20.100000000000001" customHeight="1">
      <c r="A94" s="709">
        <f t="shared" si="3"/>
        <v>45</v>
      </c>
      <c r="B94" s="286" t="s">
        <v>265</v>
      </c>
      <c r="C94" s="287">
        <f>SUBTOTAL(9,C84:C93)</f>
        <v>0</v>
      </c>
      <c r="D94" s="287">
        <f>SUM(D84:D93)</f>
        <v>0</v>
      </c>
      <c r="E94" s="287">
        <f>SUM(E84:E93)</f>
        <v>0</v>
      </c>
      <c r="F94" s="287">
        <f>SUM(F84:F93)</f>
        <v>0</v>
      </c>
      <c r="G94" s="287">
        <f>SUM(G84:G93)</f>
        <v>0</v>
      </c>
      <c r="H94" s="266"/>
    </row>
    <row r="95" spans="1:8" ht="20.100000000000001" customHeight="1">
      <c r="A95" s="709">
        <f t="shared" si="3"/>
        <v>46</v>
      </c>
      <c r="B95" s="286" t="s">
        <v>256</v>
      </c>
      <c r="C95" s="271">
        <f>SUM(D95:G95)</f>
        <v>0</v>
      </c>
      <c r="D95" s="271"/>
      <c r="E95" s="271">
        <f>+E85</f>
        <v>0</v>
      </c>
      <c r="F95" s="271"/>
      <c r="G95" s="271"/>
      <c r="H95" s="266"/>
    </row>
    <row r="96" spans="1:8" ht="20.100000000000001" customHeight="1">
      <c r="A96" s="709">
        <f t="shared" si="3"/>
        <v>47</v>
      </c>
      <c r="B96" s="296" t="s">
        <v>257</v>
      </c>
      <c r="C96" s="271">
        <f>SUM(D96:G96)</f>
        <v>0</v>
      </c>
      <c r="D96" s="282"/>
      <c r="E96" s="282">
        <v>0</v>
      </c>
      <c r="F96" s="282"/>
      <c r="G96" s="282"/>
      <c r="H96" s="274"/>
    </row>
    <row r="97" spans="1:9" ht="20.100000000000001" customHeight="1" thickBot="1">
      <c r="A97" s="709">
        <f t="shared" si="3"/>
        <v>48</v>
      </c>
      <c r="B97" s="290" t="s">
        <v>35</v>
      </c>
      <c r="C97" s="297">
        <f>+SUM(D97:G97)</f>
        <v>0</v>
      </c>
      <c r="D97" s="297">
        <f>+D94-D95-D96</f>
        <v>0</v>
      </c>
      <c r="E97" s="297">
        <f>+E94-E95-E96</f>
        <v>0</v>
      </c>
      <c r="F97" s="297">
        <f>+F94-F95-F96</f>
        <v>0</v>
      </c>
      <c r="G97" s="297">
        <f>+G94-G95-G96</f>
        <v>0</v>
      </c>
      <c r="H97" s="292"/>
    </row>
    <row r="98" spans="1:9" ht="35.1" customHeight="1" thickTop="1">
      <c r="B98" s="298" t="s">
        <v>266</v>
      </c>
      <c r="C98" s="259"/>
      <c r="D98" s="259"/>
      <c r="E98" s="280"/>
      <c r="F98" s="280"/>
      <c r="G98" s="259"/>
      <c r="H98" s="283"/>
    </row>
    <row r="99" spans="1:9" ht="20.100000000000001" customHeight="1">
      <c r="B99" s="997" t="s">
        <v>259</v>
      </c>
      <c r="C99" s="997"/>
      <c r="D99" s="997"/>
      <c r="E99" s="997"/>
      <c r="F99" s="997"/>
      <c r="G99" s="997"/>
      <c r="H99" s="259"/>
    </row>
    <row r="100" spans="1:9" ht="20.100000000000001" customHeight="1">
      <c r="B100" s="258" t="s">
        <v>260</v>
      </c>
      <c r="C100" s="259"/>
      <c r="D100" s="259"/>
      <c r="E100" s="259"/>
      <c r="F100" s="280"/>
      <c r="G100" s="280"/>
      <c r="H100" s="259"/>
    </row>
    <row r="101" spans="1:9" ht="20.100000000000001" customHeight="1">
      <c r="B101" s="258" t="s">
        <v>261</v>
      </c>
      <c r="C101" s="259"/>
      <c r="D101" s="259"/>
      <c r="E101" s="259"/>
      <c r="F101" s="280"/>
      <c r="G101" s="280"/>
      <c r="H101" s="259"/>
    </row>
    <row r="102" spans="1:9" ht="20.100000000000001" customHeight="1">
      <c r="B102" s="258" t="s">
        <v>262</v>
      </c>
      <c r="C102" s="259"/>
      <c r="D102" s="259"/>
      <c r="E102" s="259"/>
      <c r="F102" s="280"/>
      <c r="G102" s="280"/>
      <c r="H102" s="259"/>
    </row>
    <row r="103" spans="1:9" ht="15.75">
      <c r="B103" s="997" t="s">
        <v>401</v>
      </c>
      <c r="C103" s="997"/>
      <c r="D103" s="997"/>
      <c r="E103" s="997"/>
      <c r="F103" s="997"/>
      <c r="G103" s="997"/>
      <c r="H103" s="259"/>
    </row>
    <row r="104" spans="1:9" ht="15.75">
      <c r="B104" s="258"/>
      <c r="C104" s="259"/>
      <c r="D104" s="259"/>
      <c r="E104" s="259"/>
      <c r="F104" s="259"/>
      <c r="G104" s="259"/>
      <c r="H104" s="259"/>
    </row>
    <row r="105" spans="1:9" ht="15.75" customHeight="1">
      <c r="B105" s="284"/>
      <c r="C105" s="284"/>
      <c r="D105" s="284"/>
      <c r="E105" s="284"/>
      <c r="F105" s="284"/>
      <c r="G105" s="284"/>
      <c r="H105" s="284"/>
    </row>
    <row r="106" spans="1:9" ht="15.75">
      <c r="B106" s="998"/>
      <c r="C106" s="998"/>
      <c r="D106" s="998"/>
      <c r="E106" s="998"/>
      <c r="F106" s="998"/>
      <c r="G106" s="998"/>
      <c r="H106" s="998"/>
    </row>
    <row r="107" spans="1:9" ht="15.75">
      <c r="B107" s="259"/>
      <c r="C107" s="259"/>
      <c r="D107" s="259"/>
      <c r="E107" s="259"/>
      <c r="F107" s="259"/>
      <c r="G107" s="259"/>
      <c r="H107" s="259"/>
    </row>
    <row r="108" spans="1:9" ht="15.75">
      <c r="B108" s="259"/>
      <c r="C108" s="259"/>
      <c r="D108" s="259"/>
      <c r="E108" s="259"/>
      <c r="F108" s="259"/>
      <c r="G108" s="259"/>
      <c r="H108" s="259"/>
    </row>
    <row r="109" spans="1:9" ht="15.75" customHeight="1">
      <c r="B109" s="259"/>
      <c r="C109" s="259"/>
      <c r="D109" s="259"/>
      <c r="E109" s="259"/>
      <c r="F109" s="259"/>
      <c r="G109" s="259"/>
      <c r="H109" s="259"/>
    </row>
    <row r="110" spans="1:9" ht="15.75">
      <c r="B110" s="259"/>
      <c r="C110" s="259"/>
      <c r="D110" s="299"/>
      <c r="E110" s="299"/>
      <c r="F110" s="299"/>
      <c r="G110" s="299"/>
      <c r="H110" s="299"/>
      <c r="I110" s="256"/>
    </row>
    <row r="111" spans="1:9" ht="15.75">
      <c r="B111" s="259"/>
      <c r="C111" s="259"/>
      <c r="D111" s="299"/>
      <c r="E111" s="299"/>
      <c r="F111" s="299"/>
      <c r="G111" s="299"/>
      <c r="H111" s="299"/>
      <c r="I111" s="256"/>
    </row>
    <row r="112" spans="1:9" ht="15.75">
      <c r="B112" s="258"/>
      <c r="C112" s="259"/>
      <c r="D112" s="280"/>
      <c r="E112" s="280"/>
      <c r="F112" s="259"/>
      <c r="G112" s="259"/>
      <c r="H112" s="259"/>
    </row>
    <row r="113" spans="2:8" ht="15.75">
      <c r="B113" s="258"/>
      <c r="C113" s="259"/>
      <c r="D113" s="86"/>
      <c r="E113" s="86"/>
      <c r="F113" s="259"/>
      <c r="G113" s="259"/>
      <c r="H113" s="259"/>
    </row>
    <row r="114" spans="2:8" ht="15.75">
      <c r="B114" s="258"/>
      <c r="C114" s="259"/>
      <c r="D114" s="86"/>
      <c r="E114" s="86"/>
      <c r="F114" s="259"/>
      <c r="G114" s="259"/>
      <c r="H114" s="259"/>
    </row>
    <row r="115" spans="2:8" ht="15.75">
      <c r="B115" s="258"/>
      <c r="C115" s="259"/>
      <c r="D115" s="86"/>
      <c r="E115" s="86"/>
      <c r="F115" s="259"/>
      <c r="G115" s="259"/>
      <c r="H115" s="259"/>
    </row>
    <row r="116" spans="2:8" ht="15.75">
      <c r="B116" s="258"/>
      <c r="C116" s="259"/>
      <c r="D116" s="86"/>
      <c r="E116" s="86"/>
      <c r="F116" s="259"/>
      <c r="G116" s="259"/>
      <c r="H116" s="259"/>
    </row>
    <row r="117" spans="2:8" ht="15.75">
      <c r="B117" s="258"/>
      <c r="C117" s="259"/>
      <c r="D117" s="86"/>
      <c r="E117" s="86"/>
      <c r="F117" s="259"/>
      <c r="G117" s="259"/>
      <c r="H117" s="259"/>
    </row>
    <row r="118" spans="2:8" ht="15.75">
      <c r="B118" s="258"/>
      <c r="C118" s="259"/>
      <c r="D118" s="86"/>
      <c r="E118" s="86"/>
      <c r="F118" s="259"/>
      <c r="G118" s="259"/>
      <c r="H118" s="259"/>
    </row>
    <row r="119" spans="2:8" ht="15.75">
      <c r="B119" s="258"/>
      <c r="C119" s="259"/>
      <c r="D119" s="86"/>
      <c r="E119" s="86"/>
      <c r="F119" s="259"/>
      <c r="G119" s="259"/>
      <c r="H119" s="259"/>
    </row>
    <row r="120" spans="2:8" ht="15.75">
      <c r="B120" s="258"/>
      <c r="C120" s="259"/>
      <c r="D120" s="86"/>
      <c r="E120" s="86"/>
      <c r="F120" s="259"/>
      <c r="G120" s="259"/>
      <c r="H120" s="259"/>
    </row>
    <row r="121" spans="2:8" ht="15.75">
      <c r="B121" s="258"/>
      <c r="C121" s="259"/>
      <c r="D121" s="86"/>
      <c r="E121" s="86"/>
      <c r="F121" s="259"/>
      <c r="G121" s="259"/>
      <c r="H121" s="259"/>
    </row>
    <row r="122" spans="2:8" ht="15.75">
      <c r="B122" s="258"/>
      <c r="C122" s="259"/>
      <c r="D122" s="86"/>
      <c r="E122" s="86"/>
      <c r="F122" s="259"/>
      <c r="G122" s="259"/>
      <c r="H122" s="259"/>
    </row>
    <row r="123" spans="2:8" ht="15.75">
      <c r="B123" s="259"/>
      <c r="C123" s="259"/>
      <c r="D123" s="86"/>
      <c r="E123" s="86"/>
      <c r="F123" s="259"/>
      <c r="G123" s="259"/>
      <c r="H123" s="259"/>
    </row>
    <row r="124" spans="2:8" ht="15.75">
      <c r="B124" s="258"/>
      <c r="C124" s="259"/>
      <c r="D124" s="86"/>
      <c r="E124" s="86"/>
      <c r="F124" s="259"/>
      <c r="G124" s="259"/>
      <c r="H124" s="259"/>
    </row>
    <row r="125" spans="2:8" ht="15.75">
      <c r="B125" s="259"/>
      <c r="C125" s="259"/>
      <c r="D125" s="86"/>
      <c r="E125" s="86"/>
      <c r="F125" s="259"/>
      <c r="G125" s="259"/>
      <c r="H125" s="259"/>
    </row>
    <row r="126" spans="2:8" ht="15.75">
      <c r="B126" s="258"/>
      <c r="C126" s="259"/>
      <c r="D126" s="259"/>
      <c r="E126" s="259"/>
      <c r="F126" s="259"/>
      <c r="G126" s="259"/>
      <c r="H126" s="259"/>
    </row>
    <row r="127" spans="2:8" ht="15.75">
      <c r="B127" s="258"/>
      <c r="C127" s="259"/>
      <c r="D127" s="259"/>
      <c r="E127" s="259"/>
      <c r="F127" s="259"/>
      <c r="G127" s="259"/>
      <c r="H127" s="259"/>
    </row>
    <row r="128" spans="2:8" ht="15.75">
      <c r="B128" s="258"/>
      <c r="C128" s="259"/>
      <c r="D128" s="259"/>
      <c r="E128" s="259"/>
      <c r="F128" s="259"/>
      <c r="G128" s="259"/>
      <c r="H128" s="259"/>
    </row>
    <row r="129" spans="2:8" ht="15.75">
      <c r="B129" s="258"/>
      <c r="C129" s="259"/>
      <c r="D129" s="259"/>
      <c r="E129" s="259"/>
      <c r="F129" s="259"/>
      <c r="G129" s="259"/>
      <c r="H129" s="259"/>
    </row>
    <row r="130" spans="2:8" ht="15.75">
      <c r="B130" s="258"/>
      <c r="C130" s="259"/>
      <c r="D130" s="259"/>
      <c r="E130" s="259"/>
      <c r="F130" s="259"/>
      <c r="G130" s="259"/>
      <c r="H130" s="259"/>
    </row>
    <row r="131" spans="2:8" ht="15.75">
      <c r="B131" s="258"/>
      <c r="C131" s="259"/>
      <c r="D131" s="259"/>
      <c r="E131" s="259"/>
      <c r="F131" s="259"/>
      <c r="G131" s="259"/>
      <c r="H131" s="259"/>
    </row>
    <row r="132" spans="2:8" ht="15.75">
      <c r="B132" s="258"/>
      <c r="C132" s="259"/>
      <c r="D132" s="259"/>
      <c r="E132" s="259"/>
      <c r="F132" s="259"/>
      <c r="G132" s="259"/>
      <c r="H132" s="259"/>
    </row>
    <row r="133" spans="2:8" ht="15.75">
      <c r="B133" s="258"/>
      <c r="C133" s="259"/>
      <c r="D133" s="259"/>
      <c r="E133" s="259"/>
      <c r="F133" s="259"/>
      <c r="G133" s="259"/>
      <c r="H133" s="259"/>
    </row>
    <row r="134" spans="2:8" ht="15.75">
      <c r="B134" s="258"/>
      <c r="C134" s="259"/>
      <c r="D134" s="259"/>
      <c r="E134" s="259"/>
      <c r="F134" s="259"/>
      <c r="G134" s="259"/>
      <c r="H134" s="259"/>
    </row>
    <row r="135" spans="2:8" ht="15.75">
      <c r="B135" s="258"/>
      <c r="C135" s="259"/>
      <c r="D135" s="259"/>
      <c r="E135" s="259"/>
      <c r="F135" s="259"/>
      <c r="G135" s="259"/>
      <c r="H135" s="259"/>
    </row>
    <row r="136" spans="2:8" ht="15.75">
      <c r="B136" s="258"/>
      <c r="C136" s="259"/>
      <c r="D136" s="259"/>
      <c r="E136" s="259"/>
      <c r="F136" s="259"/>
      <c r="G136" s="259"/>
      <c r="H136" s="259"/>
    </row>
    <row r="137" spans="2:8" ht="15.75">
      <c r="B137" s="258"/>
      <c r="C137" s="259"/>
      <c r="D137" s="259"/>
      <c r="E137" s="259"/>
      <c r="F137" s="259"/>
      <c r="G137" s="259"/>
      <c r="H137" s="259"/>
    </row>
    <row r="138" spans="2:8" ht="15.75">
      <c r="B138" s="258"/>
      <c r="C138" s="259"/>
      <c r="D138" s="259"/>
      <c r="E138" s="259"/>
      <c r="F138" s="259"/>
      <c r="G138" s="259"/>
      <c r="H138" s="259"/>
    </row>
    <row r="139" spans="2:8" ht="15.75">
      <c r="B139" s="258"/>
      <c r="C139" s="259"/>
      <c r="D139" s="259"/>
      <c r="E139" s="259"/>
      <c r="F139" s="259"/>
      <c r="G139" s="259"/>
      <c r="H139" s="259"/>
    </row>
    <row r="140" spans="2:8" ht="15.75">
      <c r="B140" s="258"/>
      <c r="C140" s="259"/>
      <c r="D140" s="259"/>
      <c r="E140" s="259"/>
      <c r="F140" s="259"/>
      <c r="G140" s="259"/>
      <c r="H140" s="259"/>
    </row>
    <row r="141" spans="2:8" ht="15.75">
      <c r="B141" s="258"/>
      <c r="C141" s="259"/>
      <c r="D141" s="259"/>
      <c r="E141" s="259"/>
      <c r="F141" s="259"/>
      <c r="G141" s="259"/>
      <c r="H141" s="259"/>
    </row>
    <row r="142" spans="2:8" ht="15.75">
      <c r="B142" s="258"/>
      <c r="C142" s="259"/>
      <c r="D142" s="259"/>
      <c r="E142" s="259"/>
      <c r="F142" s="259"/>
      <c r="G142" s="259"/>
      <c r="H142" s="259"/>
    </row>
    <row r="143" spans="2:8" ht="15.75">
      <c r="B143" s="258"/>
      <c r="C143" s="259"/>
      <c r="D143" s="259"/>
      <c r="E143" s="259"/>
      <c r="F143" s="259"/>
      <c r="G143" s="259"/>
      <c r="H143" s="259"/>
    </row>
    <row r="144" spans="2:8" ht="15.75">
      <c r="B144" s="258"/>
      <c r="C144" s="259"/>
      <c r="D144" s="259"/>
      <c r="E144" s="259"/>
      <c r="F144" s="259"/>
      <c r="G144" s="259"/>
      <c r="H144" s="259"/>
    </row>
    <row r="145" spans="2:8" ht="15.75">
      <c r="B145" s="258"/>
      <c r="C145" s="259"/>
      <c r="D145" s="259"/>
      <c r="E145" s="259"/>
      <c r="F145" s="259"/>
      <c r="G145" s="259"/>
      <c r="H145" s="259"/>
    </row>
    <row r="146" spans="2:8" ht="15.75">
      <c r="B146" s="258"/>
      <c r="C146" s="259"/>
      <c r="D146" s="259"/>
      <c r="E146" s="259"/>
      <c r="F146" s="259"/>
      <c r="G146" s="259"/>
      <c r="H146" s="259"/>
    </row>
    <row r="147" spans="2:8" ht="15.75">
      <c r="B147" s="258"/>
      <c r="C147" s="259"/>
      <c r="D147" s="259"/>
      <c r="E147" s="259"/>
      <c r="F147" s="259"/>
      <c r="G147" s="259"/>
      <c r="H147" s="259"/>
    </row>
    <row r="148" spans="2:8" ht="15.75">
      <c r="B148" s="258"/>
      <c r="C148" s="259"/>
      <c r="D148" s="259"/>
      <c r="E148" s="259"/>
      <c r="F148" s="259"/>
      <c r="G148" s="259"/>
      <c r="H148" s="259"/>
    </row>
    <row r="149" spans="2:8" ht="15.75">
      <c r="B149" s="258"/>
      <c r="C149" s="259"/>
      <c r="D149" s="259"/>
      <c r="E149" s="259"/>
      <c r="F149" s="259"/>
      <c r="G149" s="259"/>
      <c r="H149" s="259"/>
    </row>
    <row r="150" spans="2:8" ht="15.75">
      <c r="B150" s="258"/>
      <c r="C150" s="259"/>
      <c r="D150" s="259"/>
      <c r="E150" s="259"/>
      <c r="F150" s="259"/>
      <c r="G150" s="259"/>
      <c r="H150" s="259"/>
    </row>
    <row r="151" spans="2:8" ht="15.75">
      <c r="B151" s="258"/>
      <c r="C151" s="259"/>
      <c r="D151" s="259"/>
      <c r="E151" s="259"/>
      <c r="F151" s="259"/>
      <c r="G151" s="259"/>
      <c r="H151" s="259"/>
    </row>
    <row r="152" spans="2:8" ht="15.75">
      <c r="B152" s="258"/>
      <c r="C152" s="259"/>
      <c r="D152" s="259"/>
      <c r="E152" s="259"/>
      <c r="F152" s="259"/>
      <c r="G152" s="259"/>
      <c r="H152" s="259"/>
    </row>
    <row r="153" spans="2:8" ht="15.75">
      <c r="B153" s="258"/>
      <c r="C153" s="259"/>
      <c r="D153" s="259"/>
      <c r="E153" s="259"/>
      <c r="F153" s="259"/>
      <c r="G153" s="259"/>
      <c r="H153" s="259"/>
    </row>
    <row r="154" spans="2:8" ht="15.75">
      <c r="B154" s="258"/>
      <c r="C154" s="259"/>
      <c r="D154" s="259"/>
      <c r="E154" s="259"/>
      <c r="F154" s="259"/>
      <c r="G154" s="259"/>
      <c r="H154" s="259"/>
    </row>
    <row r="155" spans="2:8" ht="15.75">
      <c r="B155" s="258"/>
      <c r="C155" s="259"/>
      <c r="D155" s="259"/>
      <c r="E155" s="259"/>
      <c r="F155" s="259"/>
      <c r="G155" s="259"/>
      <c r="H155" s="259"/>
    </row>
    <row r="156" spans="2:8" ht="15.75">
      <c r="B156" s="258"/>
      <c r="C156" s="259"/>
      <c r="D156" s="259"/>
      <c r="E156" s="259"/>
      <c r="F156" s="259"/>
      <c r="G156" s="259"/>
      <c r="H156" s="259"/>
    </row>
    <row r="157" spans="2:8" ht="15.75">
      <c r="B157" s="258"/>
      <c r="C157" s="259"/>
      <c r="D157" s="259"/>
      <c r="E157" s="259"/>
      <c r="F157" s="259"/>
      <c r="G157" s="259"/>
      <c r="H157" s="259"/>
    </row>
    <row r="158" spans="2:8" ht="15.75">
      <c r="B158" s="258"/>
      <c r="C158" s="259"/>
      <c r="D158" s="259"/>
      <c r="E158" s="259"/>
      <c r="F158" s="259"/>
      <c r="G158" s="259"/>
      <c r="H158" s="259"/>
    </row>
    <row r="159" spans="2:8" ht="15.75">
      <c r="B159" s="258"/>
      <c r="C159" s="259"/>
      <c r="D159" s="259"/>
      <c r="E159" s="259"/>
      <c r="F159" s="259"/>
      <c r="G159" s="259"/>
      <c r="H159" s="259"/>
    </row>
    <row r="160" spans="2:8" ht="15.75">
      <c r="B160" s="258"/>
      <c r="C160" s="259"/>
      <c r="D160" s="259"/>
      <c r="E160" s="259"/>
      <c r="F160" s="259"/>
      <c r="G160" s="259"/>
      <c r="H160" s="259"/>
    </row>
    <row r="161" spans="2:8" ht="15.75">
      <c r="B161" s="258"/>
      <c r="C161" s="259"/>
      <c r="D161" s="259"/>
      <c r="E161" s="259"/>
      <c r="F161" s="259"/>
      <c r="G161" s="259"/>
      <c r="H161" s="259"/>
    </row>
    <row r="162" spans="2:8" ht="15.75">
      <c r="B162" s="258"/>
      <c r="C162" s="259"/>
      <c r="D162" s="259"/>
      <c r="E162" s="259"/>
      <c r="F162" s="259"/>
      <c r="G162" s="259"/>
      <c r="H162" s="259"/>
    </row>
    <row r="163" spans="2:8" ht="15.75">
      <c r="B163" s="258"/>
      <c r="C163" s="259"/>
      <c r="D163" s="259"/>
      <c r="E163" s="259"/>
      <c r="F163" s="259"/>
      <c r="G163" s="259"/>
      <c r="H163" s="259"/>
    </row>
    <row r="164" spans="2:8" ht="15.75">
      <c r="B164" s="258"/>
      <c r="C164" s="259"/>
      <c r="D164" s="259"/>
      <c r="E164" s="259"/>
      <c r="F164" s="259"/>
      <c r="G164" s="259"/>
      <c r="H164" s="259"/>
    </row>
    <row r="165" spans="2:8" ht="15.75">
      <c r="B165" s="258"/>
      <c r="C165" s="259"/>
      <c r="D165" s="259"/>
      <c r="E165" s="259"/>
      <c r="F165" s="259"/>
      <c r="G165" s="259"/>
      <c r="H165" s="259"/>
    </row>
    <row r="166" spans="2:8" ht="15.75">
      <c r="B166" s="258"/>
      <c r="C166" s="259"/>
      <c r="D166" s="259"/>
      <c r="E166" s="259"/>
      <c r="F166" s="259"/>
      <c r="G166" s="259"/>
      <c r="H166" s="259"/>
    </row>
    <row r="167" spans="2:8" ht="15.75">
      <c r="B167" s="258"/>
      <c r="C167" s="259"/>
      <c r="D167" s="259"/>
      <c r="E167" s="259"/>
      <c r="F167" s="259"/>
      <c r="G167" s="259"/>
      <c r="H167" s="259"/>
    </row>
    <row r="168" spans="2:8" ht="15.75">
      <c r="B168" s="258"/>
      <c r="C168" s="259"/>
      <c r="D168" s="259"/>
      <c r="E168" s="259"/>
      <c r="F168" s="259"/>
      <c r="G168" s="259"/>
      <c r="H168" s="259"/>
    </row>
    <row r="169" spans="2:8" ht="15.75">
      <c r="B169" s="258"/>
      <c r="C169" s="259"/>
      <c r="D169" s="259"/>
      <c r="E169" s="259"/>
      <c r="F169" s="259"/>
      <c r="G169" s="259"/>
      <c r="H169" s="259"/>
    </row>
    <row r="170" spans="2:8" ht="15.75">
      <c r="B170" s="258"/>
      <c r="C170" s="259"/>
      <c r="D170" s="259"/>
      <c r="E170" s="259"/>
      <c r="F170" s="259"/>
      <c r="G170" s="259"/>
      <c r="H170" s="259"/>
    </row>
    <row r="171" spans="2:8" ht="15.75">
      <c r="B171" s="258"/>
      <c r="C171" s="259"/>
      <c r="D171" s="259"/>
      <c r="E171" s="259"/>
      <c r="F171" s="259"/>
      <c r="G171" s="259"/>
      <c r="H171" s="259"/>
    </row>
    <row r="172" spans="2:8" ht="15.75">
      <c r="B172" s="258"/>
      <c r="C172" s="259"/>
      <c r="D172" s="259"/>
      <c r="E172" s="259"/>
      <c r="F172" s="259"/>
      <c r="G172" s="259"/>
      <c r="H172" s="259"/>
    </row>
    <row r="173" spans="2:8" ht="15.75">
      <c r="B173" s="258"/>
      <c r="C173" s="259"/>
      <c r="D173" s="259"/>
      <c r="E173" s="259"/>
      <c r="F173" s="259"/>
      <c r="G173" s="259"/>
      <c r="H173" s="259"/>
    </row>
    <row r="174" spans="2:8" ht="15.75">
      <c r="B174" s="258"/>
      <c r="C174" s="259"/>
      <c r="D174" s="259"/>
      <c r="E174" s="259"/>
      <c r="F174" s="259"/>
      <c r="G174" s="259"/>
      <c r="H174" s="259"/>
    </row>
    <row r="175" spans="2:8" ht="15.75">
      <c r="B175" s="258"/>
      <c r="C175" s="259"/>
      <c r="D175" s="259"/>
      <c r="E175" s="259"/>
      <c r="F175" s="259"/>
      <c r="G175" s="259"/>
      <c r="H175" s="259"/>
    </row>
    <row r="176" spans="2:8" ht="15.75">
      <c r="B176" s="258"/>
      <c r="C176" s="259"/>
      <c r="D176" s="259"/>
      <c r="E176" s="259"/>
      <c r="F176" s="259"/>
      <c r="G176" s="259"/>
      <c r="H176" s="259"/>
    </row>
    <row r="177" spans="2:8" ht="15.75">
      <c r="B177" s="258"/>
      <c r="C177" s="259"/>
      <c r="D177" s="259"/>
      <c r="E177" s="259"/>
      <c r="F177" s="259"/>
      <c r="G177" s="259"/>
      <c r="H177" s="259"/>
    </row>
    <row r="178" spans="2:8" ht="15.75">
      <c r="B178" s="258"/>
      <c r="C178" s="259"/>
      <c r="D178" s="259"/>
      <c r="E178" s="259"/>
      <c r="F178" s="259"/>
      <c r="G178" s="259"/>
      <c r="H178" s="259"/>
    </row>
    <row r="179" spans="2:8" ht="15.75">
      <c r="B179" s="258"/>
      <c r="C179" s="259"/>
      <c r="D179" s="259"/>
      <c r="E179" s="259"/>
      <c r="F179" s="259"/>
      <c r="G179" s="259"/>
      <c r="H179" s="259"/>
    </row>
    <row r="180" spans="2:8" ht="15.75">
      <c r="B180" s="258"/>
      <c r="C180" s="259"/>
      <c r="D180" s="259"/>
      <c r="E180" s="259"/>
      <c r="F180" s="259"/>
      <c r="G180" s="259"/>
      <c r="H180" s="259"/>
    </row>
    <row r="181" spans="2:8" ht="15.75">
      <c r="B181" s="258"/>
      <c r="C181" s="259"/>
      <c r="D181" s="259"/>
      <c r="E181" s="259"/>
      <c r="F181" s="259"/>
      <c r="G181" s="259"/>
      <c r="H181" s="259"/>
    </row>
    <row r="182" spans="2:8" ht="15.75">
      <c r="B182" s="258"/>
      <c r="C182" s="259"/>
      <c r="D182" s="259"/>
      <c r="E182" s="259"/>
      <c r="F182" s="259"/>
      <c r="G182" s="259"/>
      <c r="H182" s="259"/>
    </row>
    <row r="183" spans="2:8" ht="15.75">
      <c r="B183" s="258"/>
      <c r="C183" s="259"/>
      <c r="D183" s="259"/>
      <c r="E183" s="259"/>
      <c r="F183" s="259"/>
      <c r="G183" s="259"/>
      <c r="H183" s="259"/>
    </row>
    <row r="184" spans="2:8" ht="15.75">
      <c r="B184" s="258"/>
      <c r="C184" s="259"/>
      <c r="D184" s="259"/>
      <c r="E184" s="259"/>
      <c r="F184" s="259"/>
      <c r="G184" s="259"/>
      <c r="H184" s="259"/>
    </row>
    <row r="185" spans="2:8" ht="15.75">
      <c r="B185" s="258"/>
      <c r="C185" s="259"/>
      <c r="D185" s="259"/>
      <c r="E185" s="259"/>
      <c r="F185" s="259"/>
      <c r="G185" s="259"/>
      <c r="H185" s="259"/>
    </row>
    <row r="186" spans="2:8" ht="15.75">
      <c r="B186" s="258"/>
      <c r="C186" s="259"/>
      <c r="D186" s="259"/>
      <c r="E186" s="259"/>
      <c r="F186" s="259"/>
      <c r="G186" s="259"/>
      <c r="H186" s="259"/>
    </row>
    <row r="187" spans="2:8" ht="15.75">
      <c r="B187" s="258"/>
      <c r="C187" s="259"/>
      <c r="D187" s="259"/>
      <c r="E187" s="259"/>
      <c r="F187" s="259"/>
      <c r="G187" s="259"/>
      <c r="H187" s="259"/>
    </row>
    <row r="188" spans="2:8" ht="15.75">
      <c r="B188" s="258"/>
      <c r="C188" s="259"/>
      <c r="D188" s="259"/>
      <c r="E188" s="259"/>
      <c r="F188" s="259"/>
      <c r="G188" s="259"/>
      <c r="H188" s="259"/>
    </row>
    <row r="189" spans="2:8" ht="15.75">
      <c r="B189" s="258"/>
      <c r="C189" s="259"/>
      <c r="D189" s="259"/>
      <c r="E189" s="259"/>
      <c r="F189" s="259"/>
      <c r="G189" s="259"/>
      <c r="H189" s="259"/>
    </row>
    <row r="190" spans="2:8" ht="15.75">
      <c r="B190" s="258"/>
      <c r="C190" s="259"/>
      <c r="D190" s="259"/>
      <c r="E190" s="259"/>
      <c r="F190" s="259"/>
      <c r="G190" s="259"/>
      <c r="H190" s="259"/>
    </row>
    <row r="191" spans="2:8" ht="15.75">
      <c r="B191" s="258"/>
      <c r="C191" s="259"/>
      <c r="D191" s="259"/>
      <c r="E191" s="259"/>
      <c r="F191" s="259"/>
      <c r="G191" s="259"/>
      <c r="H191" s="259"/>
    </row>
    <row r="192" spans="2:8" ht="15.75">
      <c r="B192" s="258"/>
      <c r="C192" s="259"/>
      <c r="D192" s="259"/>
      <c r="E192" s="259"/>
      <c r="F192" s="259"/>
      <c r="G192" s="259"/>
      <c r="H192" s="259"/>
    </row>
    <row r="193" spans="2:8" ht="15.75">
      <c r="B193" s="258"/>
      <c r="C193" s="259"/>
      <c r="D193" s="259"/>
      <c r="E193" s="259"/>
      <c r="F193" s="259"/>
      <c r="G193" s="259"/>
      <c r="H193" s="259"/>
    </row>
    <row r="194" spans="2:8" ht="15.75">
      <c r="B194" s="258"/>
      <c r="C194" s="259"/>
      <c r="D194" s="259"/>
      <c r="E194" s="259"/>
      <c r="F194" s="259"/>
      <c r="G194" s="259"/>
      <c r="H194" s="259"/>
    </row>
    <row r="195" spans="2:8" ht="15.75">
      <c r="B195" s="258"/>
      <c r="C195" s="259"/>
      <c r="D195" s="259"/>
      <c r="E195" s="259"/>
      <c r="F195" s="259"/>
      <c r="G195" s="259"/>
      <c r="H195" s="259"/>
    </row>
    <row r="196" spans="2:8" ht="15.75">
      <c r="B196" s="258"/>
      <c r="C196" s="259"/>
      <c r="D196" s="259"/>
      <c r="E196" s="259"/>
      <c r="F196" s="259"/>
      <c r="G196" s="259"/>
      <c r="H196" s="259"/>
    </row>
    <row r="197" spans="2:8" ht="15.75">
      <c r="B197" s="258"/>
      <c r="C197" s="259"/>
      <c r="D197" s="259"/>
      <c r="E197" s="259"/>
      <c r="F197" s="259"/>
      <c r="G197" s="259"/>
      <c r="H197" s="259"/>
    </row>
    <row r="198" spans="2:8" ht="15.75">
      <c r="B198" s="258"/>
      <c r="C198" s="259"/>
      <c r="D198" s="259"/>
      <c r="E198" s="259"/>
      <c r="F198" s="259"/>
      <c r="G198" s="259"/>
      <c r="H198" s="259"/>
    </row>
    <row r="199" spans="2:8" ht="15.75">
      <c r="B199" s="258"/>
      <c r="C199" s="259"/>
      <c r="D199" s="259"/>
      <c r="E199" s="259"/>
      <c r="F199" s="259"/>
      <c r="G199" s="259"/>
      <c r="H199" s="259"/>
    </row>
    <row r="200" spans="2:8" ht="15.75">
      <c r="B200" s="258"/>
      <c r="C200" s="259"/>
      <c r="D200" s="259"/>
      <c r="E200" s="259"/>
      <c r="F200" s="259"/>
      <c r="G200" s="259"/>
      <c r="H200" s="259"/>
    </row>
    <row r="201" spans="2:8" ht="15.75">
      <c r="B201" s="258"/>
      <c r="C201" s="259"/>
      <c r="D201" s="259"/>
      <c r="E201" s="259"/>
      <c r="F201" s="259"/>
      <c r="G201" s="259"/>
      <c r="H201" s="259"/>
    </row>
    <row r="202" spans="2:8" ht="15.75">
      <c r="B202" s="258"/>
      <c r="C202" s="259"/>
      <c r="D202" s="259"/>
      <c r="E202" s="259"/>
      <c r="F202" s="259"/>
      <c r="G202" s="259"/>
      <c r="H202" s="259"/>
    </row>
    <row r="203" spans="2:8" ht="15.75">
      <c r="B203" s="258"/>
      <c r="C203" s="259"/>
      <c r="D203" s="259"/>
      <c r="E203" s="259"/>
      <c r="F203" s="259"/>
      <c r="G203" s="259"/>
      <c r="H203" s="259"/>
    </row>
    <row r="204" spans="2:8" ht="15.75">
      <c r="B204" s="258"/>
      <c r="C204" s="259"/>
      <c r="D204" s="259"/>
      <c r="E204" s="259"/>
      <c r="F204" s="259"/>
      <c r="G204" s="259"/>
      <c r="H204" s="259"/>
    </row>
    <row r="205" spans="2:8" ht="15.75">
      <c r="B205" s="258"/>
      <c r="C205" s="259"/>
      <c r="D205" s="259"/>
      <c r="E205" s="259"/>
      <c r="F205" s="259"/>
      <c r="G205" s="259"/>
      <c r="H205" s="259"/>
    </row>
    <row r="206" spans="2:8" ht="15.75">
      <c r="B206" s="258"/>
      <c r="C206" s="259"/>
      <c r="D206" s="259"/>
      <c r="E206" s="259"/>
      <c r="F206" s="259"/>
      <c r="G206" s="259"/>
      <c r="H206" s="259"/>
    </row>
    <row r="207" spans="2:8" ht="15.75">
      <c r="B207" s="258"/>
      <c r="C207" s="259"/>
      <c r="D207" s="259"/>
      <c r="E207" s="259"/>
      <c r="F207" s="259"/>
      <c r="G207" s="259"/>
      <c r="H207" s="259"/>
    </row>
    <row r="208" spans="2:8" ht="15.75">
      <c r="B208" s="258"/>
      <c r="C208" s="259"/>
      <c r="D208" s="259"/>
      <c r="E208" s="259"/>
      <c r="F208" s="259"/>
      <c r="G208" s="259"/>
      <c r="H208" s="259"/>
    </row>
    <row r="209" spans="2:8" ht="15.75">
      <c r="B209" s="258"/>
      <c r="C209" s="259"/>
      <c r="D209" s="259"/>
      <c r="E209" s="259"/>
      <c r="F209" s="259"/>
      <c r="G209" s="259"/>
      <c r="H209" s="259"/>
    </row>
    <row r="210" spans="2:8" ht="15.75">
      <c r="B210" s="258"/>
      <c r="C210" s="259"/>
      <c r="D210" s="259"/>
      <c r="E210" s="259"/>
      <c r="F210" s="259"/>
      <c r="G210" s="259"/>
      <c r="H210" s="259"/>
    </row>
    <row r="211" spans="2:8" ht="15.75">
      <c r="B211" s="258"/>
      <c r="C211" s="259"/>
      <c r="D211" s="259"/>
      <c r="E211" s="259"/>
      <c r="F211" s="259"/>
      <c r="G211" s="259"/>
      <c r="H211" s="259"/>
    </row>
    <row r="212" spans="2:8" ht="15.75">
      <c r="B212" s="258"/>
      <c r="C212" s="259"/>
      <c r="D212" s="259"/>
      <c r="E212" s="259"/>
      <c r="F212" s="259"/>
      <c r="G212" s="259"/>
      <c r="H212" s="259"/>
    </row>
    <row r="213" spans="2:8" ht="15.75">
      <c r="B213" s="258"/>
      <c r="C213" s="259"/>
      <c r="D213" s="259"/>
      <c r="E213" s="259"/>
      <c r="F213" s="259"/>
      <c r="G213" s="259"/>
      <c r="H213" s="259"/>
    </row>
    <row r="214" spans="2:8" ht="15.75">
      <c r="B214" s="258"/>
      <c r="C214" s="259"/>
      <c r="D214" s="259"/>
      <c r="E214" s="259"/>
      <c r="F214" s="259"/>
      <c r="G214" s="259"/>
      <c r="H214" s="259"/>
    </row>
    <row r="215" spans="2:8" ht="15.75">
      <c r="B215" s="258"/>
      <c r="C215" s="259"/>
      <c r="D215" s="259"/>
      <c r="E215" s="259"/>
      <c r="F215" s="259"/>
      <c r="G215" s="259"/>
      <c r="H215" s="259"/>
    </row>
    <row r="216" spans="2:8" ht="15.75">
      <c r="B216" s="258"/>
      <c r="C216" s="259"/>
      <c r="D216" s="259"/>
      <c r="E216" s="259"/>
      <c r="F216" s="259"/>
      <c r="G216" s="259"/>
      <c r="H216" s="259"/>
    </row>
    <row r="217" spans="2:8" ht="15.75">
      <c r="B217" s="258"/>
      <c r="C217" s="259"/>
      <c r="D217" s="259"/>
      <c r="E217" s="259"/>
      <c r="F217" s="259"/>
      <c r="G217" s="259"/>
      <c r="H217" s="259"/>
    </row>
    <row r="218" spans="2:8" ht="15.75">
      <c r="B218" s="258"/>
      <c r="C218" s="259"/>
      <c r="D218" s="259"/>
      <c r="E218" s="259"/>
      <c r="F218" s="259"/>
      <c r="G218" s="259"/>
      <c r="H218" s="259"/>
    </row>
    <row r="219" spans="2:8" ht="15.75">
      <c r="B219" s="258"/>
      <c r="C219" s="259"/>
      <c r="D219" s="259"/>
      <c r="E219" s="259"/>
      <c r="F219" s="259"/>
      <c r="G219" s="259"/>
      <c r="H219" s="259"/>
    </row>
    <row r="220" spans="2:8" ht="15.75">
      <c r="B220" s="258"/>
      <c r="C220" s="259"/>
      <c r="D220" s="259"/>
      <c r="E220" s="259"/>
      <c r="F220" s="259"/>
      <c r="G220" s="259"/>
      <c r="H220" s="259"/>
    </row>
    <row r="221" spans="2:8" ht="15.75">
      <c r="B221" s="258"/>
      <c r="C221" s="259"/>
      <c r="D221" s="259"/>
      <c r="E221" s="259"/>
      <c r="F221" s="259"/>
      <c r="G221" s="259"/>
      <c r="H221" s="259"/>
    </row>
    <row r="222" spans="2:8" ht="15.75">
      <c r="B222" s="258"/>
      <c r="C222" s="259"/>
      <c r="D222" s="259"/>
      <c r="E222" s="259"/>
      <c r="F222" s="259"/>
      <c r="G222" s="259"/>
      <c r="H222" s="259"/>
    </row>
    <row r="223" spans="2:8" ht="15.75">
      <c r="B223" s="258"/>
      <c r="C223" s="259"/>
      <c r="D223" s="259"/>
      <c r="E223" s="259"/>
      <c r="F223" s="259"/>
      <c r="G223" s="259"/>
      <c r="H223" s="259"/>
    </row>
    <row r="224" spans="2:8" ht="15.75">
      <c r="B224" s="258"/>
      <c r="C224" s="259"/>
      <c r="D224" s="259"/>
      <c r="E224" s="259"/>
      <c r="F224" s="259"/>
      <c r="G224" s="259"/>
      <c r="H224" s="259"/>
    </row>
    <row r="225" spans="2:8" ht="15.75">
      <c r="B225" s="258"/>
      <c r="C225" s="259"/>
      <c r="D225" s="259"/>
      <c r="E225" s="259"/>
      <c r="F225" s="259"/>
      <c r="G225" s="259"/>
      <c r="H225" s="259"/>
    </row>
    <row r="226" spans="2:8" ht="15.75">
      <c r="B226" s="258"/>
      <c r="C226" s="259"/>
      <c r="D226" s="259"/>
      <c r="E226" s="259"/>
      <c r="F226" s="259"/>
      <c r="G226" s="259"/>
      <c r="H226" s="259"/>
    </row>
    <row r="227" spans="2:8" ht="15.75">
      <c r="B227" s="258"/>
      <c r="C227" s="259"/>
      <c r="D227" s="259"/>
      <c r="E227" s="259"/>
      <c r="F227" s="259"/>
      <c r="G227" s="259"/>
      <c r="H227" s="259"/>
    </row>
    <row r="228" spans="2:8" ht="15.75">
      <c r="B228" s="258"/>
      <c r="C228" s="259"/>
      <c r="D228" s="259"/>
      <c r="E228" s="259"/>
      <c r="F228" s="259"/>
      <c r="G228" s="259"/>
      <c r="H228" s="259"/>
    </row>
    <row r="229" spans="2:8" ht="15.75">
      <c r="B229" s="258"/>
      <c r="C229" s="259"/>
      <c r="D229" s="259"/>
      <c r="E229" s="259"/>
      <c r="F229" s="259"/>
      <c r="G229" s="259"/>
      <c r="H229" s="259"/>
    </row>
    <row r="230" spans="2:8" ht="15.75">
      <c r="B230" s="258"/>
      <c r="C230" s="259"/>
      <c r="D230" s="259"/>
      <c r="E230" s="259"/>
      <c r="F230" s="259"/>
      <c r="G230" s="259"/>
      <c r="H230" s="259"/>
    </row>
    <row r="231" spans="2:8" ht="15.75">
      <c r="B231" s="258"/>
      <c r="C231" s="259"/>
      <c r="D231" s="259"/>
      <c r="E231" s="259"/>
      <c r="F231" s="259"/>
      <c r="G231" s="259"/>
      <c r="H231" s="259"/>
    </row>
    <row r="232" spans="2:8" ht="15.75">
      <c r="B232" s="258"/>
      <c r="C232" s="259"/>
      <c r="D232" s="259"/>
      <c r="E232" s="259"/>
      <c r="F232" s="259"/>
      <c r="G232" s="259"/>
      <c r="H232" s="259"/>
    </row>
    <row r="233" spans="2:8" ht="15.75">
      <c r="B233" s="258"/>
      <c r="C233" s="259"/>
      <c r="D233" s="259"/>
      <c r="E233" s="259"/>
      <c r="F233" s="259"/>
      <c r="G233" s="259"/>
      <c r="H233" s="259"/>
    </row>
    <row r="234" spans="2:8" ht="15.75">
      <c r="B234" s="258"/>
      <c r="C234" s="259"/>
      <c r="D234" s="259"/>
      <c r="E234" s="259"/>
      <c r="F234" s="259"/>
      <c r="G234" s="259"/>
      <c r="H234" s="259"/>
    </row>
    <row r="235" spans="2:8" ht="15.75">
      <c r="B235" s="258"/>
      <c r="C235" s="259"/>
      <c r="D235" s="259"/>
      <c r="E235" s="259"/>
      <c r="F235" s="259"/>
      <c r="G235" s="259"/>
      <c r="H235" s="259"/>
    </row>
    <row r="236" spans="2:8" ht="15.75">
      <c r="B236" s="258"/>
      <c r="C236" s="259"/>
      <c r="D236" s="259"/>
      <c r="E236" s="259"/>
      <c r="F236" s="259"/>
      <c r="G236" s="259"/>
      <c r="H236" s="259"/>
    </row>
    <row r="237" spans="2:8" ht="15.75">
      <c r="B237" s="258"/>
      <c r="C237" s="259"/>
      <c r="D237" s="259"/>
      <c r="E237" s="259"/>
      <c r="F237" s="259"/>
      <c r="G237" s="259"/>
      <c r="H237" s="259"/>
    </row>
    <row r="238" spans="2:8" ht="15.75">
      <c r="B238" s="258"/>
      <c r="C238" s="259"/>
      <c r="D238" s="259"/>
      <c r="E238" s="259"/>
      <c r="F238" s="259"/>
      <c r="G238" s="259"/>
      <c r="H238" s="259"/>
    </row>
    <row r="239" spans="2:8" ht="15.75">
      <c r="B239" s="258"/>
      <c r="C239" s="259"/>
      <c r="D239" s="259"/>
      <c r="E239" s="259"/>
      <c r="F239" s="259"/>
      <c r="G239" s="259"/>
      <c r="H239" s="259"/>
    </row>
    <row r="240" spans="2:8" ht="15.75">
      <c r="B240" s="258"/>
      <c r="C240" s="259"/>
      <c r="D240" s="259"/>
      <c r="E240" s="259"/>
      <c r="F240" s="259"/>
      <c r="G240" s="259"/>
      <c r="H240" s="259"/>
    </row>
    <row r="241" spans="2:8" ht="15.75">
      <c r="B241" s="258"/>
      <c r="C241" s="259"/>
      <c r="D241" s="259"/>
      <c r="E241" s="259"/>
      <c r="F241" s="259"/>
      <c r="G241" s="259"/>
      <c r="H241" s="259"/>
    </row>
    <row r="242" spans="2:8" ht="15.75">
      <c r="B242" s="258"/>
      <c r="C242" s="259"/>
      <c r="D242" s="259"/>
      <c r="E242" s="259"/>
      <c r="F242" s="259"/>
      <c r="G242" s="259"/>
      <c r="H242" s="259"/>
    </row>
    <row r="243" spans="2:8" ht="15.75">
      <c r="B243" s="258"/>
      <c r="C243" s="259"/>
      <c r="D243" s="259"/>
      <c r="E243" s="259"/>
      <c r="F243" s="259"/>
      <c r="G243" s="259"/>
      <c r="H243" s="259"/>
    </row>
    <row r="244" spans="2:8" ht="15.75">
      <c r="B244" s="258"/>
      <c r="C244" s="259"/>
      <c r="D244" s="259"/>
      <c r="E244" s="259"/>
      <c r="F244" s="259"/>
      <c r="G244" s="259"/>
      <c r="H244" s="259"/>
    </row>
    <row r="245" spans="2:8" ht="15.75">
      <c r="B245" s="258"/>
      <c r="C245" s="259"/>
      <c r="D245" s="259"/>
      <c r="E245" s="259"/>
      <c r="F245" s="259"/>
      <c r="G245" s="259"/>
      <c r="H245" s="259"/>
    </row>
    <row r="246" spans="2:8" ht="15.75">
      <c r="B246" s="258"/>
      <c r="C246" s="259"/>
      <c r="D246" s="259"/>
      <c r="E246" s="259"/>
      <c r="F246" s="259"/>
      <c r="G246" s="259"/>
      <c r="H246" s="259"/>
    </row>
    <row r="247" spans="2:8" ht="15.75">
      <c r="B247" s="258"/>
      <c r="C247" s="259"/>
      <c r="D247" s="259"/>
      <c r="E247" s="259"/>
      <c r="F247" s="259"/>
      <c r="G247" s="259"/>
      <c r="H247" s="259"/>
    </row>
    <row r="248" spans="2:8" ht="15.75">
      <c r="B248" s="258"/>
      <c r="C248" s="259"/>
      <c r="D248" s="259"/>
      <c r="E248" s="259"/>
      <c r="F248" s="259"/>
      <c r="G248" s="259"/>
      <c r="H248" s="259"/>
    </row>
    <row r="249" spans="2:8" ht="15.75">
      <c r="B249" s="258"/>
      <c r="C249" s="259"/>
      <c r="D249" s="259"/>
      <c r="E249" s="259"/>
      <c r="F249" s="259"/>
      <c r="G249" s="259"/>
      <c r="H249" s="259"/>
    </row>
    <row r="250" spans="2:8" ht="15.75">
      <c r="B250" s="258"/>
      <c r="C250" s="259"/>
      <c r="D250" s="259"/>
      <c r="E250" s="259"/>
      <c r="F250" s="259"/>
      <c r="G250" s="259"/>
      <c r="H250" s="259"/>
    </row>
    <row r="251" spans="2:8" ht="15.75">
      <c r="B251" s="258"/>
      <c r="C251" s="259"/>
      <c r="D251" s="259"/>
      <c r="E251" s="259"/>
      <c r="F251" s="259"/>
      <c r="G251" s="259"/>
      <c r="H251" s="259"/>
    </row>
    <row r="252" spans="2:8" ht="15.75">
      <c r="B252" s="258"/>
      <c r="C252" s="259"/>
      <c r="D252" s="259"/>
      <c r="E252" s="259"/>
      <c r="F252" s="259"/>
      <c r="G252" s="259"/>
      <c r="H252" s="259"/>
    </row>
    <row r="253" spans="2:8" ht="15.75">
      <c r="B253" s="258"/>
      <c r="C253" s="259"/>
      <c r="D253" s="259"/>
      <c r="E253" s="259"/>
      <c r="F253" s="259"/>
      <c r="G253" s="259"/>
      <c r="H253" s="259"/>
    </row>
    <row r="254" spans="2:8" ht="15.75">
      <c r="B254" s="258"/>
      <c r="C254" s="259"/>
      <c r="D254" s="259"/>
      <c r="E254" s="259"/>
      <c r="F254" s="259"/>
      <c r="G254" s="259"/>
      <c r="H254" s="259"/>
    </row>
    <row r="255" spans="2:8" ht="15.75">
      <c r="B255" s="258"/>
      <c r="C255" s="259"/>
      <c r="D255" s="259"/>
      <c r="E255" s="259"/>
      <c r="F255" s="259"/>
      <c r="G255" s="259"/>
      <c r="H255" s="259"/>
    </row>
    <row r="256" spans="2:8" ht="15.75">
      <c r="B256" s="258"/>
      <c r="C256" s="259"/>
      <c r="D256" s="259"/>
      <c r="E256" s="259"/>
      <c r="F256" s="259"/>
      <c r="G256" s="259"/>
      <c r="H256" s="259"/>
    </row>
    <row r="257" spans="2:8" ht="15.75">
      <c r="B257" s="258"/>
      <c r="C257" s="259"/>
      <c r="D257" s="259"/>
      <c r="E257" s="259"/>
      <c r="F257" s="259"/>
      <c r="G257" s="259"/>
      <c r="H257" s="259"/>
    </row>
    <row r="258" spans="2:8" ht="15.75">
      <c r="B258" s="258"/>
      <c r="C258" s="259"/>
      <c r="D258" s="259"/>
      <c r="E258" s="259"/>
      <c r="F258" s="259"/>
      <c r="G258" s="259"/>
      <c r="H258" s="259"/>
    </row>
    <row r="259" spans="2:8" ht="15.75">
      <c r="B259" s="258"/>
      <c r="C259" s="259"/>
      <c r="D259" s="259"/>
      <c r="E259" s="259"/>
      <c r="F259" s="259"/>
      <c r="G259" s="259"/>
      <c r="H259" s="259"/>
    </row>
    <row r="260" spans="2:8" ht="15.75">
      <c r="B260" s="258"/>
      <c r="C260" s="259"/>
      <c r="D260" s="259"/>
      <c r="E260" s="259"/>
      <c r="F260" s="259"/>
      <c r="G260" s="259"/>
      <c r="H260" s="259"/>
    </row>
    <row r="261" spans="2:8" ht="15.75">
      <c r="B261" s="258"/>
      <c r="C261" s="259"/>
      <c r="D261" s="259"/>
      <c r="E261" s="259"/>
      <c r="F261" s="259"/>
      <c r="G261" s="259"/>
      <c r="H261" s="259"/>
    </row>
    <row r="262" spans="2:8" ht="15.75">
      <c r="B262" s="258"/>
      <c r="C262" s="259"/>
      <c r="D262" s="259"/>
      <c r="E262" s="259"/>
      <c r="F262" s="259"/>
      <c r="G262" s="259"/>
      <c r="H262" s="259"/>
    </row>
    <row r="263" spans="2:8" ht="15.75">
      <c r="B263" s="258"/>
      <c r="C263" s="259"/>
      <c r="D263" s="259"/>
      <c r="E263" s="259"/>
      <c r="F263" s="259"/>
      <c r="G263" s="259"/>
      <c r="H263" s="259"/>
    </row>
    <row r="264" spans="2:8" ht="15.75">
      <c r="B264" s="258"/>
      <c r="C264" s="259"/>
      <c r="D264" s="259"/>
      <c r="E264" s="259"/>
      <c r="F264" s="259"/>
      <c r="G264" s="259"/>
      <c r="H264" s="259"/>
    </row>
    <row r="265" spans="2:8" ht="15.75">
      <c r="B265" s="258"/>
      <c r="C265" s="259"/>
      <c r="D265" s="259"/>
      <c r="E265" s="259"/>
      <c r="F265" s="259"/>
      <c r="G265" s="259"/>
      <c r="H265" s="259"/>
    </row>
    <row r="266" spans="2:8" ht="15.75">
      <c r="B266" s="258"/>
      <c r="C266" s="259"/>
      <c r="D266" s="259"/>
      <c r="E266" s="259"/>
      <c r="F266" s="259"/>
      <c r="G266" s="259"/>
      <c r="H266" s="259"/>
    </row>
    <row r="267" spans="2:8" ht="15.75">
      <c r="B267" s="258"/>
      <c r="C267" s="259"/>
      <c r="D267" s="259"/>
      <c r="E267" s="259"/>
      <c r="F267" s="259"/>
      <c r="G267" s="259"/>
      <c r="H267" s="259"/>
    </row>
    <row r="268" spans="2:8" ht="15.75">
      <c r="B268" s="258"/>
      <c r="C268" s="259"/>
      <c r="D268" s="259"/>
      <c r="E268" s="259"/>
      <c r="F268" s="259"/>
      <c r="G268" s="259"/>
      <c r="H268" s="259"/>
    </row>
    <row r="269" spans="2:8" ht="15.75">
      <c r="B269" s="258"/>
      <c r="C269" s="259"/>
      <c r="D269" s="259"/>
      <c r="E269" s="259"/>
      <c r="F269" s="259"/>
      <c r="G269" s="259"/>
      <c r="H269" s="259"/>
    </row>
    <row r="270" spans="2:8" ht="15.75">
      <c r="B270" s="258"/>
      <c r="C270" s="259"/>
      <c r="D270" s="259"/>
      <c r="E270" s="259"/>
      <c r="F270" s="259"/>
      <c r="G270" s="259"/>
      <c r="H270" s="259"/>
    </row>
    <row r="271" spans="2:8" ht="15.75">
      <c r="B271" s="258"/>
      <c r="C271" s="259"/>
      <c r="D271" s="259"/>
      <c r="E271" s="259"/>
      <c r="F271" s="259"/>
      <c r="G271" s="259"/>
      <c r="H271" s="259"/>
    </row>
    <row r="272" spans="2:8" ht="15.75">
      <c r="B272" s="258"/>
      <c r="C272" s="259"/>
      <c r="D272" s="259"/>
      <c r="E272" s="259"/>
      <c r="F272" s="259"/>
      <c r="G272" s="259"/>
      <c r="H272" s="259"/>
    </row>
    <row r="273" spans="2:8" ht="15.75">
      <c r="B273" s="258"/>
      <c r="C273" s="259"/>
      <c r="D273" s="259"/>
      <c r="E273" s="259"/>
      <c r="F273" s="259"/>
      <c r="G273" s="259"/>
      <c r="H273" s="259"/>
    </row>
    <row r="274" spans="2:8" ht="15.75">
      <c r="B274" s="258"/>
      <c r="C274" s="259"/>
      <c r="D274" s="259"/>
      <c r="E274" s="259"/>
      <c r="F274" s="259"/>
      <c r="G274" s="259"/>
      <c r="H274" s="259"/>
    </row>
    <row r="275" spans="2:8" ht="15.75">
      <c r="B275" s="258"/>
      <c r="C275" s="259"/>
      <c r="D275" s="259"/>
      <c r="E275" s="259"/>
      <c r="F275" s="259"/>
      <c r="G275" s="259"/>
      <c r="H275" s="259"/>
    </row>
    <row r="276" spans="2:8" ht="15.75">
      <c r="B276" s="258"/>
      <c r="C276" s="259"/>
      <c r="D276" s="259"/>
      <c r="E276" s="259"/>
      <c r="F276" s="259"/>
      <c r="G276" s="259"/>
      <c r="H276" s="259"/>
    </row>
    <row r="277" spans="2:8" ht="15.75">
      <c r="B277" s="258"/>
      <c r="C277" s="259"/>
      <c r="D277" s="259"/>
      <c r="E277" s="259"/>
      <c r="F277" s="259"/>
      <c r="G277" s="259"/>
      <c r="H277" s="259"/>
    </row>
    <row r="278" spans="2:8" ht="15.75">
      <c r="B278" s="258"/>
      <c r="C278" s="259"/>
      <c r="D278" s="259"/>
      <c r="E278" s="259"/>
      <c r="F278" s="259"/>
      <c r="G278" s="259"/>
      <c r="H278" s="259"/>
    </row>
    <row r="279" spans="2:8" ht="15.75">
      <c r="B279" s="258"/>
      <c r="C279" s="259"/>
      <c r="D279" s="259"/>
      <c r="E279" s="259"/>
      <c r="F279" s="259"/>
      <c r="G279" s="259"/>
      <c r="H279" s="259"/>
    </row>
    <row r="280" spans="2:8" ht="15.75">
      <c r="B280" s="258"/>
      <c r="C280" s="259"/>
      <c r="D280" s="259"/>
      <c r="E280" s="259"/>
      <c r="F280" s="259"/>
      <c r="G280" s="259"/>
      <c r="H280" s="259"/>
    </row>
    <row r="281" spans="2:8" ht="15.75">
      <c r="B281" s="258"/>
      <c r="C281" s="259"/>
      <c r="D281" s="259"/>
      <c r="E281" s="259"/>
      <c r="F281" s="259"/>
      <c r="G281" s="259"/>
      <c r="H281" s="259"/>
    </row>
    <row r="282" spans="2:8" ht="15.75">
      <c r="B282" s="258"/>
      <c r="C282" s="259"/>
      <c r="D282" s="259"/>
      <c r="E282" s="259"/>
      <c r="F282" s="259"/>
      <c r="G282" s="259"/>
      <c r="H282" s="259"/>
    </row>
    <row r="283" spans="2:8" ht="15.75">
      <c r="B283" s="258"/>
      <c r="C283" s="259"/>
      <c r="D283" s="259"/>
      <c r="E283" s="259"/>
      <c r="F283" s="259"/>
      <c r="G283" s="259"/>
      <c r="H283" s="259"/>
    </row>
    <row r="284" spans="2:8" ht="15.75">
      <c r="B284" s="258"/>
      <c r="C284" s="259"/>
      <c r="D284" s="259"/>
      <c r="E284" s="259"/>
      <c r="F284" s="259"/>
      <c r="G284" s="259"/>
      <c r="H284" s="259"/>
    </row>
    <row r="285" spans="2:8" ht="15.75">
      <c r="B285" s="258"/>
      <c r="C285" s="259"/>
      <c r="D285" s="259"/>
      <c r="E285" s="259"/>
      <c r="F285" s="259"/>
      <c r="G285" s="259"/>
      <c r="H285" s="259"/>
    </row>
    <row r="286" spans="2:8" ht="15.75">
      <c r="B286" s="258"/>
      <c r="C286" s="259"/>
      <c r="D286" s="259"/>
      <c r="E286" s="259"/>
      <c r="F286" s="259"/>
      <c r="G286" s="259"/>
      <c r="H286" s="259"/>
    </row>
    <row r="287" spans="2:8" ht="15.75">
      <c r="B287" s="258"/>
      <c r="C287" s="259"/>
      <c r="D287" s="259"/>
      <c r="E287" s="259"/>
      <c r="F287" s="259"/>
      <c r="G287" s="259"/>
      <c r="H287" s="259"/>
    </row>
    <row r="288" spans="2:8" ht="15.75">
      <c r="B288" s="258"/>
      <c r="C288" s="259"/>
      <c r="D288" s="259"/>
      <c r="E288" s="259"/>
      <c r="F288" s="259"/>
      <c r="G288" s="259"/>
      <c r="H288" s="259"/>
    </row>
    <row r="289" spans="2:8" ht="15.75">
      <c r="B289" s="258"/>
      <c r="C289" s="259"/>
      <c r="D289" s="259"/>
      <c r="E289" s="259"/>
      <c r="F289" s="259"/>
      <c r="G289" s="259"/>
      <c r="H289" s="259"/>
    </row>
    <row r="290" spans="2:8" ht="15.75">
      <c r="B290" s="258"/>
      <c r="C290" s="259"/>
      <c r="D290" s="259"/>
      <c r="E290" s="259"/>
      <c r="F290" s="259"/>
      <c r="G290" s="259"/>
      <c r="H290" s="259"/>
    </row>
    <row r="291" spans="2:8" ht="15.75">
      <c r="B291" s="258"/>
      <c r="C291" s="259"/>
      <c r="D291" s="259"/>
      <c r="E291" s="259"/>
      <c r="F291" s="259"/>
      <c r="G291" s="259"/>
      <c r="H291" s="259"/>
    </row>
    <row r="292" spans="2:8" ht="15.75">
      <c r="B292" s="258"/>
      <c r="C292" s="259"/>
      <c r="D292" s="259"/>
      <c r="E292" s="259"/>
      <c r="F292" s="259"/>
      <c r="G292" s="259"/>
      <c r="H292" s="259"/>
    </row>
    <row r="293" spans="2:8" ht="15.75">
      <c r="B293" s="258"/>
      <c r="C293" s="259"/>
      <c r="D293" s="259"/>
      <c r="E293" s="259"/>
      <c r="F293" s="259"/>
      <c r="G293" s="259"/>
      <c r="H293" s="259"/>
    </row>
    <row r="294" spans="2:8" ht="15.75">
      <c r="B294" s="258"/>
      <c r="C294" s="259"/>
      <c r="D294" s="259"/>
      <c r="E294" s="259"/>
      <c r="F294" s="259"/>
      <c r="G294" s="259"/>
      <c r="H294" s="259"/>
    </row>
    <row r="295" spans="2:8" ht="15.75">
      <c r="B295" s="258"/>
      <c r="C295" s="259"/>
      <c r="D295" s="259"/>
      <c r="E295" s="259"/>
      <c r="F295" s="259"/>
      <c r="G295" s="259"/>
      <c r="H295" s="259"/>
    </row>
    <row r="296" spans="2:8" ht="15.75">
      <c r="B296" s="258"/>
      <c r="C296" s="259"/>
      <c r="D296" s="259"/>
      <c r="E296" s="259"/>
      <c r="F296" s="259"/>
      <c r="G296" s="259"/>
      <c r="H296" s="259"/>
    </row>
    <row r="297" spans="2:8" ht="15.75">
      <c r="B297" s="258"/>
      <c r="C297" s="259"/>
      <c r="D297" s="259"/>
      <c r="E297" s="259"/>
      <c r="F297" s="259"/>
      <c r="G297" s="259"/>
      <c r="H297" s="259"/>
    </row>
    <row r="298" spans="2:8" ht="15.75">
      <c r="B298" s="258"/>
      <c r="C298" s="259"/>
      <c r="D298" s="259"/>
      <c r="E298" s="259"/>
      <c r="F298" s="259"/>
      <c r="G298" s="259"/>
      <c r="H298" s="259"/>
    </row>
    <row r="299" spans="2:8" ht="15.75">
      <c r="B299" s="258"/>
      <c r="C299" s="259"/>
      <c r="D299" s="259"/>
      <c r="E299" s="259"/>
      <c r="F299" s="259"/>
      <c r="G299" s="259"/>
      <c r="H299" s="259"/>
    </row>
    <row r="300" spans="2:8" ht="15.75">
      <c r="B300" s="258"/>
      <c r="C300" s="259"/>
      <c r="D300" s="259"/>
      <c r="E300" s="259"/>
      <c r="F300" s="259"/>
      <c r="G300" s="259"/>
      <c r="H300" s="259"/>
    </row>
    <row r="301" spans="2:8" ht="15.75">
      <c r="B301" s="258"/>
      <c r="C301" s="259"/>
      <c r="D301" s="259"/>
      <c r="E301" s="259"/>
      <c r="F301" s="259"/>
      <c r="G301" s="259"/>
      <c r="H301" s="259"/>
    </row>
    <row r="302" spans="2:8" ht="15.75">
      <c r="B302" s="258"/>
      <c r="C302" s="259"/>
      <c r="D302" s="259"/>
      <c r="E302" s="259"/>
      <c r="F302" s="259"/>
      <c r="G302" s="259"/>
      <c r="H302" s="259"/>
    </row>
    <row r="303" spans="2:8" ht="15.75">
      <c r="B303" s="258"/>
      <c r="C303" s="259"/>
      <c r="D303" s="259"/>
      <c r="E303" s="259"/>
      <c r="F303" s="259"/>
      <c r="G303" s="259"/>
      <c r="H303" s="259"/>
    </row>
    <row r="304" spans="2:8" ht="15.75">
      <c r="B304" s="258"/>
      <c r="C304" s="259"/>
      <c r="D304" s="259"/>
      <c r="E304" s="259"/>
      <c r="F304" s="259"/>
      <c r="G304" s="259"/>
      <c r="H304" s="259"/>
    </row>
  </sheetData>
  <mergeCells count="14">
    <mergeCell ref="A1:H1"/>
    <mergeCell ref="B2:H2"/>
    <mergeCell ref="B3:H3"/>
    <mergeCell ref="B42:G42"/>
    <mergeCell ref="B48:H48"/>
    <mergeCell ref="B99:G99"/>
    <mergeCell ref="B106:H106"/>
    <mergeCell ref="B4:H4"/>
    <mergeCell ref="B76:H76"/>
    <mergeCell ref="B49:H49"/>
    <mergeCell ref="B50:H50"/>
    <mergeCell ref="B77:H77"/>
    <mergeCell ref="B78:H78"/>
    <mergeCell ref="B103:G103"/>
  </mergeCells>
  <phoneticPr fontId="57" type="noConversion"/>
  <printOptions horizontalCentered="1"/>
  <pageMargins left="0.25" right="0.25" top="0.75" bottom="0.75" header="0.3" footer="0.3"/>
  <pageSetup scale="40" fitToHeight="0" orientation="landscape" r:id="rId1"/>
  <headerFooter alignWithMargins="0">
    <oddHeader>&amp;RCompliance Filing Attachment A</oddHeader>
  </headerFooter>
  <rowBreaks count="2" manualBreakCount="2">
    <brk id="47" max="7" man="1"/>
    <brk id="75"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11CA7B076B2F46BB38889BD44FB56D" ma:contentTypeVersion="28" ma:contentTypeDescription="Create a new document." ma:contentTypeScope="" ma:versionID="be7edb5f8a96276d2cbfcc650c95ccbd">
  <xsd:schema xmlns:xsd="http://www.w3.org/2001/XMLSchema" xmlns:xs="http://www.w3.org/2001/XMLSchema" xmlns:p="http://schemas.microsoft.com/office/2006/metadata/properties" xmlns:ns1="http://schemas.microsoft.com/sharepoint/v3" xmlns:ns2="e25088f3-9b63-4b0f-82a9-173e45969f25" xmlns:ns3="e67a259b-b064-4dad-99ea-9056ae4e8be9" xmlns:ns4="e8eac3e3-aaff-4c5d-8182-f9e9c1a75e02" xmlns:ns5="http://schemas.microsoft.com/sharepoint/v4" targetNamespace="http://schemas.microsoft.com/office/2006/metadata/properties" ma:root="true" ma:fieldsID="2fdaf6f347235da08fd41c798a1545c2" ns1:_="" ns2:_="" ns3:_="" ns4:_="" ns5:_="">
    <xsd:import namespace="http://schemas.microsoft.com/sharepoint/v3"/>
    <xsd:import namespace="e25088f3-9b63-4b0f-82a9-173e45969f25"/>
    <xsd:import namespace="e67a259b-b064-4dad-99ea-9056ae4e8be9"/>
    <xsd:import namespace="e8eac3e3-aaff-4c5d-8182-f9e9c1a75e02"/>
    <xsd:import namespace="http://schemas.microsoft.com/sharepoint/v4"/>
    <xsd:element name="properties">
      <xsd:complexType>
        <xsd:sequence>
          <xsd:element name="documentManagement">
            <xsd:complexType>
              <xsd:all>
                <xsd:element ref="ns2:_dlc_DocId" minOccurs="0"/>
                <xsd:element ref="ns2:_dlc_DocIdUrl" minOccurs="0"/>
                <xsd:element ref="ns2:_dlc_DocIdPersistId" minOccurs="0"/>
                <xsd:element ref="ns3:LegacyObjID" minOccurs="0"/>
                <xsd:element ref="ns3:DocDescription" minOccurs="0"/>
                <xsd:element ref="ns3:k6ddcef4143d45158923c73e5fbf7fd3" minOccurs="0"/>
                <xsd:element ref="ns3:TaxCatchAll" minOccurs="0"/>
                <xsd:element ref="ns3:b547e2d25ec54fdeabe25f8313d664c0" minOccurs="0"/>
                <xsd:element ref="ns3:p1d6c7a98c54445284ac0a0253fc066c" minOccurs="0"/>
                <xsd:element ref="ns3:n3050d635d8a4c5ab09e418d8f381e2b" minOccurs="0"/>
                <xsd:element ref="ns3:HoldName" minOccurs="0"/>
                <xsd:element ref="ns3:h3dad4f417ab413a8ca4314e9f1bd0eb" minOccurs="0"/>
                <xsd:element ref="ns2:SharedWithUsers" minOccurs="0"/>
                <xsd:element ref="ns2:SharedWithDetails" minOccurs="0"/>
                <xsd:element ref="ns4:MediaServiceMetadata" minOccurs="0"/>
                <xsd:element ref="ns4:MediaServiceFastMetadata" minOccurs="0"/>
                <xsd:element ref="ns4:MediaServiceObjectDetectorVersions" minOccurs="0"/>
                <xsd:element ref="ns4:MediaServiceDateTaken" minOccurs="0"/>
                <xsd:element ref="ns4:MediaServiceGenerationTime" minOccurs="0"/>
                <xsd:element ref="ns4:MediaServiceEventHashCode" minOccurs="0"/>
                <xsd:element ref="ns4:MediaLengthInSeconds" minOccurs="0"/>
                <xsd:element ref="ns4:MediaServiceSearchProperties" minOccurs="0"/>
                <xsd:element ref="ns5:IconOverlay"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36" nillable="true" ma:displayName="Declared Record" ma:hidden="true" ma:internalName="_vti_ItemDeclaredRecord" ma:readOnly="true">
      <xsd:simpleType>
        <xsd:restriction base="dms:DateTime"/>
      </xsd:simpleType>
    </xsd:element>
    <xsd:element name="_vti_ItemHoldRecordStatus" ma:index="37"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25088f3-9b63-4b0f-82a9-173e45969f2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67a259b-b064-4dad-99ea-9056ae4e8be9" elementFormDefault="qualified">
    <xsd:import namespace="http://schemas.microsoft.com/office/2006/documentManagement/types"/>
    <xsd:import namespace="http://schemas.microsoft.com/office/infopath/2007/PartnerControls"/>
    <xsd:element name="LegacyObjID" ma:index="11" nillable="true" ma:displayName="Legacy Object ID" ma:description="The OpenText Object ID assigned to the migrated document" ma:internalName="LegacyObjID">
      <xsd:simpleType>
        <xsd:restriction base="dms:Text">
          <xsd:maxLength value="255"/>
        </xsd:restriction>
      </xsd:simpleType>
    </xsd:element>
    <xsd:element name="DocDescription" ma:index="12" nillable="true" ma:displayName="Document Description" ma:description="The description of the document" ma:internalName="DocDescription">
      <xsd:simpleType>
        <xsd:restriction base="dms:Note">
          <xsd:maxLength value="255"/>
        </xsd:restriction>
      </xsd:simpleType>
    </xsd:element>
    <xsd:element name="k6ddcef4143d45158923c73e5fbf7fd3" ma:index="14" nillable="true" ma:taxonomy="true" ma:internalName="k6ddcef4143d45158923c73e5fbf7fd3" ma:taxonomyFieldName="Area" ma:displayName="Area" ma:default="" ma:fieldId="{46ddcef4-143d-4515-8923-c73e5fbf7fd3}" ma:sspId="7bf5fa43-f6bd-45aa-9061-cc6667b7271d" ma:termSetId="04184601-f0b6-4e71-a582-a25f76140a65"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68faf95c-2032-4a8a-97fa-a29de466012e}" ma:internalName="TaxCatchAll" ma:showField="CatchAllData" ma:web="e25088f3-9b63-4b0f-82a9-173e45969f25">
      <xsd:complexType>
        <xsd:complexContent>
          <xsd:extension base="dms:MultiChoiceLookup">
            <xsd:sequence>
              <xsd:element name="Value" type="dms:Lookup" maxOccurs="unbounded" minOccurs="0" nillable="true"/>
            </xsd:sequence>
          </xsd:extension>
        </xsd:complexContent>
      </xsd:complexType>
    </xsd:element>
    <xsd:element name="b547e2d25ec54fdeabe25f8313d664c0" ma:index="17" nillable="true" ma:taxonomy="true" ma:internalName="b547e2d25ec54fdeabe25f8313d664c0" ma:taxonomyFieldName="District" ma:displayName="District" ma:default="" ma:fieldId="{b547e2d2-5ec5-4fde-abe2-5f8313d664c0}" ma:sspId="7bf5fa43-f6bd-45aa-9061-cc6667b7271d" ma:termSetId="28363ab1-c85c-4f1f-bdda-45b2c4f3e703" ma:anchorId="00000000-0000-0000-0000-000000000000" ma:open="true" ma:isKeyword="false">
      <xsd:complexType>
        <xsd:sequence>
          <xsd:element ref="pc:Terms" minOccurs="0" maxOccurs="1"/>
        </xsd:sequence>
      </xsd:complexType>
    </xsd:element>
    <xsd:element name="p1d6c7a98c54445284ac0a0253fc066c" ma:index="19" nillable="true" ma:taxonomy="true" ma:internalName="p1d6c7a98c54445284ac0a0253fc066c" ma:taxonomyFieldName="LegacySecurityTag" ma:displayName="Legacy Security Tag" ma:default="" ma:fieldId="{91d6c7a9-8c54-4452-84ac-0a0253fc066c}" ma:sspId="7bf5fa43-f6bd-45aa-9061-cc6667b7271d" ma:termSetId="d5cde430-222d-4c3a-9b04-75289ab7b20c" ma:anchorId="00000000-0000-0000-0000-000000000000" ma:open="false" ma:isKeyword="false">
      <xsd:complexType>
        <xsd:sequence>
          <xsd:element ref="pc:Terms" minOccurs="0" maxOccurs="1"/>
        </xsd:sequence>
      </xsd:complexType>
    </xsd:element>
    <xsd:element name="n3050d635d8a4c5ab09e418d8f381e2b" ma:index="21" nillable="true" ma:taxonomy="true" ma:internalName="n3050d635d8a4c5ab09e418d8f381e2b" ma:taxonomyFieldName="Information_x0020_Type" ma:displayName="Information Type" ma:readOnly="false" ma:default="" ma:fieldId="{73050d63-5d8a-4c5a-b09e-418d8f381e2b}" ma:sspId="7bf5fa43-f6bd-45aa-9061-cc6667b7271d" ma:termSetId="5460df09-e86b-4c45-898c-b2a91a9b5fe3" ma:anchorId="c580bedf-42e2-40ca-aa7c-6a3591e53548" ma:open="false" ma:isKeyword="false">
      <xsd:complexType>
        <xsd:sequence>
          <xsd:element ref="pc:Terms" minOccurs="0" maxOccurs="1"/>
        </xsd:sequence>
      </xsd:complexType>
    </xsd:element>
    <xsd:element name="HoldName" ma:index="22" nillable="true" ma:displayName="Hold Name" ma:description="The name of the legacy Legal Hold assigned to the Document" ma:internalName="HoldName">
      <xsd:simpleType>
        <xsd:restriction base="dms:Note">
          <xsd:maxLength value="255"/>
        </xsd:restriction>
      </xsd:simpleType>
    </xsd:element>
    <xsd:element name="h3dad4f417ab413a8ca4314e9f1bd0eb" ma:index="24" nillable="true" ma:taxonomy="true" ma:internalName="h3dad4f417ab413a8ca4314e9f1bd0eb" ma:taxonomyFieldName="Information_x0020_Status" ma:displayName="Information Status" ma:default="1;#Draft|85e3e8f1-6d5d-4c8b-9355-5eb54c3875c2" ma:fieldId="{13dad4f4-17ab-413a-8ca4-314e9f1bd0eb}" ma:sspId="7bf5fa43-f6bd-45aa-9061-cc6667b7271d" ma:termSetId="66d3dc24-0c45-4f11-9171-189e7d767394"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8eac3e3-aaff-4c5d-8182-f9e9c1a75e02"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element name="MediaServiceDateTaken" ma:index="30" nillable="true" ma:displayName="MediaServiceDateTaken" ma:hidden="true" ma:indexed="true" ma:internalName="MediaServiceDateTaken"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LengthInSeconds" ma:index="33" nillable="true" ma:displayName="MediaLengthInSeconds" ma:hidden="true" ma:internalName="MediaLengthInSeconds" ma:readOnly="true">
      <xsd:simpleType>
        <xsd:restriction base="dms:Unknown"/>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LegacyObjID xmlns="e67a259b-b064-4dad-99ea-9056ae4e8be9" xsi:nil="true"/>
    <DocDescription xmlns="e67a259b-b064-4dad-99ea-9056ae4e8be9" xsi:nil="true"/>
    <TaxCatchAll xmlns="e67a259b-b064-4dad-99ea-9056ae4e8be9">
      <Value>1</Value>
    </TaxCatchAll>
    <n3050d635d8a4c5ab09e418d8f381e2b xmlns="e67a259b-b064-4dad-99ea-9056ae4e8be9">
      <Terms xmlns="http://schemas.microsoft.com/office/infopath/2007/PartnerControls"/>
    </n3050d635d8a4c5ab09e418d8f381e2b>
    <p1d6c7a98c54445284ac0a0253fc066c xmlns="e67a259b-b064-4dad-99ea-9056ae4e8be9">
      <Terms xmlns="http://schemas.microsoft.com/office/infopath/2007/PartnerControls"/>
    </p1d6c7a98c54445284ac0a0253fc066c>
    <k6ddcef4143d45158923c73e5fbf7fd3 xmlns="e67a259b-b064-4dad-99ea-9056ae4e8be9">
      <Terms xmlns="http://schemas.microsoft.com/office/infopath/2007/PartnerControls"/>
    </k6ddcef4143d45158923c73e5fbf7fd3>
    <HoldName xmlns="e67a259b-b064-4dad-99ea-9056ae4e8be9" xsi:nil="true"/>
    <b547e2d25ec54fdeabe25f8313d664c0 xmlns="e67a259b-b064-4dad-99ea-9056ae4e8be9">
      <Terms xmlns="http://schemas.microsoft.com/office/infopath/2007/PartnerControls"/>
    </b547e2d25ec54fdeabe25f8313d664c0>
    <h3dad4f417ab413a8ca4314e9f1bd0eb xmlns="e67a259b-b064-4dad-99ea-9056ae4e8be9">
      <Terms xmlns="http://schemas.microsoft.com/office/infopath/2007/PartnerControls">
        <TermInfo xmlns="http://schemas.microsoft.com/office/infopath/2007/PartnerControls">
          <TermName xmlns="http://schemas.microsoft.com/office/infopath/2007/PartnerControls">Draft</TermName>
          <TermId xmlns="http://schemas.microsoft.com/office/infopath/2007/PartnerControls">85e3e8f1-6d5d-4c8b-9355-5eb54c3875c2</TermId>
        </TermInfo>
      </Terms>
    </h3dad4f417ab413a8ca4314e9f1bd0eb>
    <_dlc_DocId xmlns="e25088f3-9b63-4b0f-82a9-173e45969f25">SYCKHE2NZKZH-1733611864-12791</_dlc_DocId>
    <_dlc_DocIdUrl xmlns="e25088f3-9b63-4b0f-82a9-173e45969f25">
      <Url>https://centralhudson.sharepoint.com/sites/EnergyPolicyRegulation/_layouts/15/DocIdRedir.aspx?ID=SYCKHE2NZKZH-1733611864-12791</Url>
      <Description>SYCKHE2NZKZH-1733611864-12791</Description>
    </_dlc_DocIdUrl>
  </documentManagement>
</p:properties>
</file>

<file path=customXml/item3.xml><?xml version="1.0" encoding="utf-8"?>
<LongProperties xmlns="http://schemas.microsoft.com/office/2006/metadata/long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8C256D-7023-4E97-8B92-3A0BBCF32F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25088f3-9b63-4b0f-82a9-173e45969f25"/>
    <ds:schemaRef ds:uri="e67a259b-b064-4dad-99ea-9056ae4e8be9"/>
    <ds:schemaRef ds:uri="e8eac3e3-aaff-4c5d-8182-f9e9c1a75e02"/>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3537C3-C75B-4684-8BEA-5FD46A136844}">
  <ds:schemaRefs>
    <ds:schemaRef ds:uri="http://schemas.microsoft.com/office/2006/documentManagement/types"/>
    <ds:schemaRef ds:uri="http://purl.org/dc/elements/1.1/"/>
    <ds:schemaRef ds:uri="http://schemas.microsoft.com/sharepoint/v3"/>
    <ds:schemaRef ds:uri="e8eac3e3-aaff-4c5d-8182-f9e9c1a75e02"/>
    <ds:schemaRef ds:uri="http://purl.org/dc/terms/"/>
    <ds:schemaRef ds:uri="http://www.w3.org/XML/1998/namespace"/>
    <ds:schemaRef ds:uri="http://schemas.openxmlformats.org/package/2006/metadata/core-properties"/>
    <ds:schemaRef ds:uri="http://schemas.microsoft.com/sharepoint/v4"/>
    <ds:schemaRef ds:uri="e25088f3-9b63-4b0f-82a9-173e45969f25"/>
    <ds:schemaRef ds:uri="http://schemas.microsoft.com/office/2006/metadata/properties"/>
    <ds:schemaRef ds:uri="http://schemas.microsoft.com/office/infopath/2007/PartnerControls"/>
    <ds:schemaRef ds:uri="e67a259b-b064-4dad-99ea-9056ae4e8be9"/>
    <ds:schemaRef ds:uri="http://purl.org/dc/dcmitype/"/>
  </ds:schemaRefs>
</ds:datastoreItem>
</file>

<file path=customXml/itemProps3.xml><?xml version="1.0" encoding="utf-8"?>
<ds:datastoreItem xmlns:ds="http://schemas.openxmlformats.org/officeDocument/2006/customXml" ds:itemID="{41CA170C-19A3-42F6-A389-E4D98720EB5F}">
  <ds:schemaRefs>
    <ds:schemaRef ds:uri="http://schemas.microsoft.com/office/2006/metadata/longProperties"/>
  </ds:schemaRefs>
</ds:datastoreItem>
</file>

<file path=customXml/itemProps4.xml><?xml version="1.0" encoding="utf-8"?>
<ds:datastoreItem xmlns:ds="http://schemas.openxmlformats.org/officeDocument/2006/customXml" ds:itemID="{0EA6D768-CD32-4606-AFC0-51674CF1D2EF}">
  <ds:schemaRefs>
    <ds:schemaRef ds:uri="http://schemas.microsoft.com/sharepoint/events"/>
  </ds:schemaRefs>
</ds:datastoreItem>
</file>

<file path=customXml/itemProps5.xml><?xml version="1.0" encoding="utf-8"?>
<ds:datastoreItem xmlns:ds="http://schemas.openxmlformats.org/officeDocument/2006/customXml" ds:itemID="{FDE70C96-E013-483C-BC2D-22B94584FB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12</vt:i4>
      </vt:variant>
    </vt:vector>
  </HeadingPairs>
  <TitlesOfParts>
    <vt:vector size="27" baseType="lpstr">
      <vt:lpstr>Index</vt:lpstr>
      <vt:lpstr>Appendix A</vt:lpstr>
      <vt:lpstr>1 - Revenue Credits</vt:lpstr>
      <vt:lpstr>2 - Cost Support</vt:lpstr>
      <vt:lpstr>3 - Cost Support</vt:lpstr>
      <vt:lpstr>4 - Cost Support</vt:lpstr>
      <vt:lpstr>5 - For Future Use</vt:lpstr>
      <vt:lpstr>6a - ADIT</vt:lpstr>
      <vt:lpstr>6b - ADIT</vt:lpstr>
      <vt:lpstr>6c - ADIT</vt:lpstr>
      <vt:lpstr>6d - ADIT</vt:lpstr>
      <vt:lpstr>7 - True-Up</vt:lpstr>
      <vt:lpstr>7a-Interest Rate</vt:lpstr>
      <vt:lpstr>8- Depreciation Rates</vt:lpstr>
      <vt:lpstr>9 - Workpaper</vt:lpstr>
      <vt:lpstr>'Appendix A'!_ftnref1</vt:lpstr>
      <vt:lpstr>'1 - Revenue Credits'!Print_Area</vt:lpstr>
      <vt:lpstr>'2 - Cost Support'!Print_Area</vt:lpstr>
      <vt:lpstr>'3 - Cost Support'!Print_Area</vt:lpstr>
      <vt:lpstr>'4 - Cost Support'!Print_Area</vt:lpstr>
      <vt:lpstr>'6a - ADIT'!Print_Area</vt:lpstr>
      <vt:lpstr>'6b - ADIT'!Print_Area</vt:lpstr>
      <vt:lpstr>'7 - True-Up'!Print_Area</vt:lpstr>
      <vt:lpstr>'7a-Interest Rate'!Print_Area</vt:lpstr>
      <vt:lpstr>'8- Depreciation Rates'!Print_Area</vt:lpstr>
      <vt:lpstr>'Appendix A'!Print_Area</vt:lpstr>
      <vt:lpstr>Index!Print_Area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2015-12-02T19:39:07Z</dcterms:created>
  <dcterms:modified xsi:type="dcterms:W3CDTF">2025-12-11T15:29:06Z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display_urn:schemas-microsoft-com:office:office#Editor">
    <vt:lpwstr>System Account</vt:lpwstr>
  </property>
  <property fmtid="{D5CDD505-2E9C-101B-9397-08002B2CF9AE}" pid="4" name="Order">
    <vt:lpwstr>8802700.00000000</vt:lpwstr>
  </property>
  <property fmtid="{D5CDD505-2E9C-101B-9397-08002B2CF9AE}" pid="5" name="ChildDoc4Name">
    <vt:lpwstr/>
  </property>
  <property fmtid="{D5CDD505-2E9C-101B-9397-08002B2CF9AE}" pid="6" name="xd_ProgID">
    <vt:lpwstr/>
  </property>
  <property fmtid="{D5CDD505-2E9C-101B-9397-08002B2CF9AE}" pid="7" name="ChildDoc1URL">
    <vt:lpwstr/>
  </property>
  <property fmtid="{D5CDD505-2E9C-101B-9397-08002B2CF9AE}" pid="8" name="ChildDoc2URL">
    <vt:lpwstr/>
  </property>
  <property fmtid="{D5CDD505-2E9C-101B-9397-08002B2CF9AE}" pid="9" name="SortOrder1">
    <vt:lpwstr/>
  </property>
  <property fmtid="{D5CDD505-2E9C-101B-9397-08002B2CF9AE}" pid="10" name="display_urn:schemas-microsoft-com:office:office#Author">
    <vt:lpwstr>System Account</vt:lpwstr>
  </property>
  <property fmtid="{D5CDD505-2E9C-101B-9397-08002B2CF9AE}" pid="11" name="TemplateUrl">
    <vt:lpwstr/>
  </property>
  <property fmtid="{D5CDD505-2E9C-101B-9397-08002B2CF9AE}" pid="12" name="ChildDoc5Name">
    <vt:lpwstr/>
  </property>
  <property fmtid="{D5CDD505-2E9C-101B-9397-08002B2CF9AE}" pid="13" name="ChildDoc1Name">
    <vt:lpwstr/>
  </property>
  <property fmtid="{D5CDD505-2E9C-101B-9397-08002B2CF9AE}" pid="14" name="ChildDoc2Name">
    <vt:lpwstr/>
  </property>
  <property fmtid="{D5CDD505-2E9C-101B-9397-08002B2CF9AE}" pid="15" name="ChildDoc3Name">
    <vt:lpwstr/>
  </property>
  <property fmtid="{D5CDD505-2E9C-101B-9397-08002B2CF9AE}" pid="16" name="URL">
    <vt:lpwstr/>
  </property>
  <property fmtid="{D5CDD505-2E9C-101B-9397-08002B2CF9AE}" pid="17" name="ChildDoc5URL">
    <vt:lpwstr/>
  </property>
  <property fmtid="{D5CDD505-2E9C-101B-9397-08002B2CF9AE}" pid="18" name="xd_Signature">
    <vt:lpwstr/>
  </property>
  <property fmtid="{D5CDD505-2E9C-101B-9397-08002B2CF9AE}" pid="19" name="ChildDoc3URL">
    <vt:lpwstr/>
  </property>
  <property fmtid="{D5CDD505-2E9C-101B-9397-08002B2CF9AE}" pid="20" name="ChildDoc4URL">
    <vt:lpwstr/>
  </property>
  <property fmtid="{D5CDD505-2E9C-101B-9397-08002B2CF9AE}" pid="21" name="ContentTypeId">
    <vt:lpwstr>0x0101007111CA7B076B2F46BB38889BD44FB56D</vt:lpwstr>
  </property>
  <property fmtid="{D5CDD505-2E9C-101B-9397-08002B2CF9AE}" pid="22" name="_dlc_DocIdItemGuid">
    <vt:lpwstr>18755604-cc65-4308-b04e-259265d5b6cc</vt:lpwstr>
  </property>
  <property fmtid="{D5CDD505-2E9C-101B-9397-08002B2CF9AE}" pid="23" name="Information Status">
    <vt:lpwstr>1;#Draft|85e3e8f1-6d5d-4c8b-9355-5eb54c3875c2</vt:lpwstr>
  </property>
  <property fmtid="{D5CDD505-2E9C-101B-9397-08002B2CF9AE}" pid="24" name="MSIP_Label_a5049dce-8671-4c79-90d7-f6ec79470f4e_Enabled">
    <vt:lpwstr>true</vt:lpwstr>
  </property>
  <property fmtid="{D5CDD505-2E9C-101B-9397-08002B2CF9AE}" pid="25" name="MSIP_Label_a5049dce-8671-4c79-90d7-f6ec79470f4e_SetDate">
    <vt:lpwstr>2025-06-20T11:27:27Z</vt:lpwstr>
  </property>
  <property fmtid="{D5CDD505-2E9C-101B-9397-08002B2CF9AE}" pid="26" name="MSIP_Label_a5049dce-8671-4c79-90d7-f6ec79470f4e_Method">
    <vt:lpwstr>Privileged</vt:lpwstr>
  </property>
  <property fmtid="{D5CDD505-2E9C-101B-9397-08002B2CF9AE}" pid="27" name="MSIP_Label_a5049dce-8671-4c79-90d7-f6ec79470f4e_Name">
    <vt:lpwstr>Public</vt:lpwstr>
  </property>
  <property fmtid="{D5CDD505-2E9C-101B-9397-08002B2CF9AE}" pid="28" name="MSIP_Label_a5049dce-8671-4c79-90d7-f6ec79470f4e_SiteId">
    <vt:lpwstr>7658602a-f7b9-4209-bc62-d2bfc30dea0d</vt:lpwstr>
  </property>
  <property fmtid="{D5CDD505-2E9C-101B-9397-08002B2CF9AE}" pid="29" name="MSIP_Label_a5049dce-8671-4c79-90d7-f6ec79470f4e_ActionId">
    <vt:lpwstr>eafce6d4-7cf6-4988-aab2-f7bf53c3f837</vt:lpwstr>
  </property>
  <property fmtid="{D5CDD505-2E9C-101B-9397-08002B2CF9AE}" pid="30" name="MSIP_Label_a5049dce-8671-4c79-90d7-f6ec79470f4e_ContentBits">
    <vt:lpwstr>0</vt:lpwstr>
  </property>
  <property fmtid="{D5CDD505-2E9C-101B-9397-08002B2CF9AE}" pid="31" name="MSIP_Label_a5049dce-8671-4c79-90d7-f6ec79470f4e_Tag">
    <vt:lpwstr>10, 0, 1, 1</vt:lpwstr>
  </property>
  <property fmtid="{D5CDD505-2E9C-101B-9397-08002B2CF9AE}" pid="32" name="LegacySecurityTag">
    <vt:lpwstr/>
  </property>
  <property fmtid="{D5CDD505-2E9C-101B-9397-08002B2CF9AE}" pid="33" name="District">
    <vt:lpwstr/>
  </property>
  <property fmtid="{D5CDD505-2E9C-101B-9397-08002B2CF9AE}" pid="34" name="Information Type">
    <vt:lpwstr/>
  </property>
  <property fmtid="{D5CDD505-2E9C-101B-9397-08002B2CF9AE}" pid="35" name="Information_x0020_Type">
    <vt:lpwstr/>
  </property>
  <property fmtid="{D5CDD505-2E9C-101B-9397-08002B2CF9AE}" pid="36" name="Area">
    <vt:lpwstr/>
  </property>
  <property fmtid="{D5CDD505-2E9C-101B-9397-08002B2CF9AE}" pid="37" name="Information_x0020_Status">
    <vt:lpwstr>1;#Draft|85e3e8f1-6d5d-4c8b-9355-5eb54c3875c2</vt:lpwstr>
  </property>
  <property fmtid="{D5CDD505-2E9C-101B-9397-08002B2CF9AE}" pid="38" name="MSIP_Label_7f88e3ab-cce9-4520-833b-eb5ade8f66ee_Enabled">
    <vt:lpwstr>true</vt:lpwstr>
  </property>
  <property fmtid="{D5CDD505-2E9C-101B-9397-08002B2CF9AE}" pid="39" name="MSIP_Label_7f88e3ab-cce9-4520-833b-eb5ade8f66ee_SetDate">
    <vt:lpwstr>2025-12-10T14:37:50Z</vt:lpwstr>
  </property>
  <property fmtid="{D5CDD505-2E9C-101B-9397-08002B2CF9AE}" pid="40" name="MSIP_Label_7f88e3ab-cce9-4520-833b-eb5ade8f66ee_Method">
    <vt:lpwstr>Standard</vt:lpwstr>
  </property>
  <property fmtid="{D5CDD505-2E9C-101B-9397-08002B2CF9AE}" pid="41" name="MSIP_Label_7f88e3ab-cce9-4520-833b-eb5ade8f66ee_Name">
    <vt:lpwstr>Internal</vt:lpwstr>
  </property>
  <property fmtid="{D5CDD505-2E9C-101B-9397-08002B2CF9AE}" pid="42" name="MSIP_Label_7f88e3ab-cce9-4520-833b-eb5ade8f66ee_SiteId">
    <vt:lpwstr>8a37c00e-a20b-444e-b73c-092d3f5f5b3a</vt:lpwstr>
  </property>
  <property fmtid="{D5CDD505-2E9C-101B-9397-08002B2CF9AE}" pid="43" name="MSIP_Label_7f88e3ab-cce9-4520-833b-eb5ade8f66ee_ActionId">
    <vt:lpwstr>3e6b0d40-74b1-4f69-8756-7857b60677b1</vt:lpwstr>
  </property>
  <property fmtid="{D5CDD505-2E9C-101B-9397-08002B2CF9AE}" pid="44" name="MSIP_Label_7f88e3ab-cce9-4520-833b-eb5ade8f66ee_ContentBits">
    <vt:lpwstr>0</vt:lpwstr>
  </property>
  <property fmtid="{D5CDD505-2E9C-101B-9397-08002B2CF9AE}" pid="45" name="MSIP_Label_7f88e3ab-cce9-4520-833b-eb5ade8f66ee_Tag">
    <vt:lpwstr>10, 3, 0, 1</vt:lpwstr>
  </property>
  <property fmtid="{D5CDD505-2E9C-101B-9397-08002B2CF9AE}" pid="46" name="_AdHocReviewCycleID">
    <vt:i4>748518083</vt:i4>
  </property>
</Properties>
</file>