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Central Hudson\Cen Hud RS19 Formula Rate\Deficiency Response\"/>
    </mc:Choice>
  </mc:AlternateContent>
  <xr:revisionPtr revIDLastSave="0" documentId="13_ncr:1_{F2FE7210-7AF5-4814-84C8-E02DB1E6E47C}" xr6:coauthVersionLast="47" xr6:coauthVersionMax="47" xr10:uidLastSave="{00000000-0000-0000-0000-000000000000}"/>
  <bookViews>
    <workbookView xWindow="22932" yWindow="-108" windowWidth="23256" windowHeight="14616" xr2:uid="{2D09F156-7CC2-49B9-9C14-8BF1FB424C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2" i="1"/>
  <c r="D22" i="1"/>
  <c r="G22" i="1" s="1"/>
  <c r="E20" i="1"/>
  <c r="D20" i="1"/>
  <c r="G20" i="1" s="1"/>
  <c r="G18" i="1"/>
  <c r="D16" i="1"/>
  <c r="D25" i="1" s="1"/>
  <c r="F15" i="1"/>
  <c r="G15" i="1" s="1"/>
  <c r="G14" i="1"/>
  <c r="F13" i="1"/>
  <c r="G13" i="1" s="1"/>
  <c r="F12" i="1"/>
  <c r="G12" i="1" s="1"/>
  <c r="F11" i="1"/>
  <c r="G11" i="1" s="1"/>
  <c r="G16" i="1" l="1"/>
  <c r="G25" i="1" s="1"/>
  <c r="H24" i="1" l="1"/>
  <c r="I24" i="1" s="1"/>
  <c r="K24" i="1" s="1"/>
  <c r="M24" i="1" s="1"/>
  <c r="N24" i="1" s="1"/>
  <c r="O24" i="1" s="1"/>
  <c r="H13" i="1"/>
  <c r="I13" i="1" s="1"/>
  <c r="K13" i="1" s="1"/>
  <c r="M13" i="1" s="1"/>
  <c r="N13" i="1" s="1"/>
  <c r="O13" i="1" s="1"/>
  <c r="H11" i="1"/>
  <c r="H14" i="1"/>
  <c r="I14" i="1" s="1"/>
  <c r="K14" i="1" s="1"/>
  <c r="M14" i="1" s="1"/>
  <c r="N14" i="1" s="1"/>
  <c r="O14" i="1" s="1"/>
  <c r="H15" i="1"/>
  <c r="I15" i="1" s="1"/>
  <c r="K15" i="1" s="1"/>
  <c r="M15" i="1" s="1"/>
  <c r="N15" i="1" s="1"/>
  <c r="O15" i="1" s="1"/>
  <c r="H22" i="1"/>
  <c r="I22" i="1" s="1"/>
  <c r="K22" i="1" s="1"/>
  <c r="M22" i="1" s="1"/>
  <c r="N22" i="1" s="1"/>
  <c r="O22" i="1" s="1"/>
  <c r="H18" i="1"/>
  <c r="I18" i="1" s="1"/>
  <c r="K18" i="1" s="1"/>
  <c r="M18" i="1" s="1"/>
  <c r="N18" i="1" s="1"/>
  <c r="O18" i="1" s="1"/>
  <c r="H12" i="1"/>
  <c r="I12" i="1" s="1"/>
  <c r="K12" i="1" s="1"/>
  <c r="M12" i="1" s="1"/>
  <c r="N12" i="1" s="1"/>
  <c r="O12" i="1" s="1"/>
  <c r="H20" i="1"/>
  <c r="I20" i="1" s="1"/>
  <c r="K20" i="1" s="1"/>
  <c r="M20" i="1" s="1"/>
  <c r="N20" i="1" s="1"/>
  <c r="O20" i="1" s="1"/>
  <c r="H16" i="1" l="1"/>
  <c r="H25" i="1" s="1"/>
  <c r="I11" i="1"/>
  <c r="I16" i="1" l="1"/>
  <c r="I25" i="1" s="1"/>
  <c r="K11" i="1"/>
  <c r="K16" i="1" l="1"/>
  <c r="K25" i="1" s="1"/>
  <c r="M11" i="1"/>
  <c r="N11" i="1" l="1"/>
  <c r="M16" i="1"/>
  <c r="M25" i="1" s="1"/>
  <c r="O11" i="1" l="1"/>
  <c r="O16" i="1" s="1"/>
  <c r="O25" i="1" s="1"/>
  <c r="N16" i="1"/>
  <c r="N25" i="1" s="1"/>
</calcChain>
</file>

<file path=xl/sharedStrings.xml><?xml version="1.0" encoding="utf-8"?>
<sst xmlns="http://schemas.openxmlformats.org/spreadsheetml/2006/main" count="39" uniqueCount="33">
  <si>
    <t>Cost of Removal</t>
  </si>
  <si>
    <t>Annual</t>
  </si>
  <si>
    <t>Full COR</t>
  </si>
  <si>
    <t>COR</t>
  </si>
  <si>
    <t>to be Collected</t>
  </si>
  <si>
    <t>Description of Material</t>
  </si>
  <si>
    <t>Account</t>
  </si>
  <si>
    <t>ASL</t>
  </si>
  <si>
    <t>Total Cost</t>
  </si>
  <si>
    <t>OH's</t>
  </si>
  <si>
    <t>Labor</t>
  </si>
  <si>
    <t xml:space="preserve">Cost w/OH </t>
  </si>
  <si>
    <t>Contingency (4%)</t>
  </si>
  <si>
    <t xml:space="preserve">Total Cost </t>
  </si>
  <si>
    <t>Rate</t>
  </si>
  <si>
    <t>over ASL</t>
  </si>
  <si>
    <t>over 40 Years</t>
  </si>
  <si>
    <t>Package Substation:</t>
  </si>
  <si>
    <t>345kV Circuit Breaker</t>
  </si>
  <si>
    <t>Control &amp; Power Cable</t>
  </si>
  <si>
    <t>Contracts</t>
  </si>
  <si>
    <t>Engineering &amp; Design</t>
  </si>
  <si>
    <t>Subtotal 135311</t>
  </si>
  <si>
    <t>Site Work Contract:</t>
  </si>
  <si>
    <t>Transmission (90%)</t>
  </si>
  <si>
    <t>Transmission (10%)</t>
  </si>
  <si>
    <t>Smart Wires Devices</t>
  </si>
  <si>
    <t>135XXX</t>
  </si>
  <si>
    <t>Total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</si>
  <si>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40 year life based on manufacturer specs for the major components.  COR rate of .25% based on the Net Salvage % used for transformers.</t>
    </r>
  </si>
  <si>
    <t>CENTRAL HUDSON GAS &amp; ELECTRIC CORPORATION</t>
  </si>
  <si>
    <t>FERC Docket No. ER20-715-001</t>
  </si>
  <si>
    <t>CH-1.4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</si>
</sst>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 applyAlignment="1">
      <alignment horizontal="centerContinuous"/>
    </xf>
    <xf numFmtId="0" fontId="1" fillId="0" borderId="0" xfId="1"/>
    <xf numFmtId="0" fontId="3" fillId="0" borderId="0" xfId="1" applyFont="1"/>
    <xf numFmtId="0" fontId="1" fillId="0" borderId="0" xfId="1" applyAlignment="1">
      <alignment horizontal="center"/>
    </xf>
    <xf numFmtId="0" fontId="1" fillId="2" borderId="0" xfId="1" applyFill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  <xf numFmtId="164" fontId="6" fillId="0" borderId="0" xfId="2" applyNumberFormat="1" applyFont="1"/>
    <xf numFmtId="165" fontId="7" fillId="0" borderId="0" xfId="3" applyNumberFormat="1" applyFont="1"/>
    <xf numFmtId="164" fontId="6" fillId="0" borderId="0" xfId="2" applyNumberFormat="1" applyFont="1" applyAlignment="1">
      <alignment horizontal="center"/>
    </xf>
    <xf numFmtId="164" fontId="6" fillId="2" borderId="0" xfId="2" applyNumberFormat="1" applyFont="1" applyFill="1"/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center"/>
    </xf>
    <xf numFmtId="164" fontId="6" fillId="2" borderId="1" xfId="2" applyNumberFormat="1" applyFont="1" applyFill="1" applyBorder="1"/>
    <xf numFmtId="0" fontId="2" fillId="0" borderId="0" xfId="1" applyFont="1" applyAlignment="1">
      <alignment horizontal="center"/>
    </xf>
    <xf numFmtId="164" fontId="2" fillId="0" borderId="0" xfId="2" applyNumberFormat="1" applyFont="1"/>
    <xf numFmtId="164" fontId="0" fillId="0" borderId="0" xfId="2" applyNumberFormat="1" applyFont="1"/>
    <xf numFmtId="0" fontId="8" fillId="0" borderId="0" xfId="1" applyFont="1" applyAlignment="1">
      <alignment horizontal="center"/>
    </xf>
    <xf numFmtId="164" fontId="1" fillId="0" borderId="0" xfId="1" applyNumberFormat="1"/>
    <xf numFmtId="164" fontId="6" fillId="2" borderId="0" xfId="2" applyNumberFormat="1" applyFont="1" applyFill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2" fontId="1" fillId="0" borderId="0" xfId="1" applyNumberFormat="1" applyAlignment="1">
      <alignment horizontal="center"/>
    </xf>
    <xf numFmtId="164" fontId="2" fillId="2" borderId="0" xfId="2" applyNumberFormat="1" applyFont="1" applyFill="1"/>
    <xf numFmtId="0" fontId="8" fillId="0" borderId="0" xfId="1" applyFont="1"/>
    <xf numFmtId="0" fontId="1" fillId="0" borderId="0" xfId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8" fillId="0" borderId="0" xfId="0" applyFont="1" applyAlignment="1">
      <alignment horizontal="left" vertical="top" wrapText="1"/>
    </xf>
  </cellXfs>
  <cellStyles count="4">
    <cellStyle name="Comma 3" xfId="2" xr:uid="{6C8043D4-4A2A-4B02-9862-3AE177092013}"/>
    <cellStyle name="Normal" xfId="0" builtinId="0"/>
    <cellStyle name="Normal 7" xfId="1" xr:uid="{FDD43C21-CE0C-445E-BE85-3ACB4D3E25C3}"/>
    <cellStyle name="Percent 2" xfId="3" xr:uid="{FBEA9104-0A6C-4FC1-9A74-084C1CE0C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1598084</xdr:colOff>
      <xdr:row>24</xdr:row>
      <xdr:rowOff>21167</xdr:rowOff>
    </xdr:from>
    <xdr:to>
      <xdr:col>2</xdr:col>
      <xdr:colOff>95250</xdr:colOff>
      <xdr:row>26</xdr:row>
      <xdr:rowOff>116416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015905C-1A1B-4DCE-B973-ABE4B963EB55}"/>
            </a:ext>
          </a:extLst>
        </xdr:cNvPr>
        <xdr:cNvCxnSpPr/>
      </xdr:nvCxnSpPr>
      <xdr:spPr>
        <a:xfrm flipH="1">
          <a:off x="1598084" y="4710007"/>
          <a:ext cx="639656" cy="4610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8A5D-3B4F-4522-A5A7-CCAF5D6A43C3}">
  <dimension ref="A1:O33"/>
  <sheetViews>
    <sheetView tabSelected="1" workbookViewId="0">
      <selection activeCell="A4" sqref="A4"/>
    </sheetView>
  </sheetViews>
  <sheetFormatPr defaultColWidth="10.88671875" defaultRowHeight="14.4" x14ac:dyDescent="0.3"/>
  <cols>
    <col min="1" max="1" width="23.44140625" style="2" customWidth="1"/>
    <col min="2" max="2" width="7.77734375" style="4" customWidth="1"/>
    <col min="3" max="3" width="4.77734375" style="4" customWidth="1"/>
    <col min="4" max="5" width="13.21875" style="2" customWidth="1"/>
    <col min="6" max="6" width="10.77734375" style="2" customWidth="1"/>
    <col min="7" max="7" width="13.21875" style="2" customWidth="1"/>
    <col min="8" max="8" width="14.109375" style="2" customWidth="1"/>
    <col min="9" max="9" width="14" style="2" bestFit="1" customWidth="1"/>
    <col min="10" max="10" width="13.21875" style="2" customWidth="1"/>
    <col min="11" max="11" width="15.88671875" style="2" customWidth="1"/>
    <col min="12" max="12" width="1.77734375" style="2" customWidth="1"/>
    <col min="13" max="14" width="15.6640625" style="2" customWidth="1"/>
    <col min="15" max="15" width="14" style="2" customWidth="1"/>
    <col min="16" max="16384" width="10.88671875" style="2"/>
  </cols>
  <sheetData>
    <row r="1" spans="1:15" x14ac:dyDescent="0.3">
      <c r="A1" s="29" t="s">
        <v>30</v>
      </c>
      <c r="B1" s="1"/>
      <c r="C1" s="1"/>
      <c r="D1" s="1"/>
      <c r="E1" s="1"/>
      <c r="F1" s="28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29" t="s">
        <v>31</v>
      </c>
      <c r="B2" s="1"/>
      <c r="C2" s="1"/>
      <c r="D2" s="1"/>
      <c r="E2" s="1"/>
      <c r="F2" s="28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29" t="s">
        <v>32</v>
      </c>
      <c r="B3" s="1"/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</row>
    <row r="4" spans="1:15" x14ac:dyDescent="0.3">
      <c r="A4" s="30"/>
      <c r="B4" s="1"/>
      <c r="C4" s="1"/>
      <c r="D4" s="4"/>
      <c r="E4" s="1"/>
      <c r="F4" s="1"/>
      <c r="G4" s="1"/>
      <c r="H4" s="28"/>
      <c r="I4" s="1"/>
      <c r="J4" s="1"/>
      <c r="K4" s="1"/>
      <c r="L4" s="1"/>
      <c r="M4" s="1"/>
      <c r="N4" s="1"/>
      <c r="O4" s="1"/>
    </row>
    <row r="5" spans="1:15" ht="15.6" x14ac:dyDescent="0.3">
      <c r="A5" s="3"/>
    </row>
    <row r="6" spans="1:15" ht="15.6" x14ac:dyDescent="0.3">
      <c r="A6" s="3"/>
    </row>
    <row r="7" spans="1:15" x14ac:dyDescent="0.3">
      <c r="K7" s="4" t="s">
        <v>1</v>
      </c>
      <c r="M7" s="4" t="s">
        <v>2</v>
      </c>
      <c r="N7" s="5" t="s">
        <v>1</v>
      </c>
      <c r="O7" s="4" t="s">
        <v>2</v>
      </c>
    </row>
    <row r="8" spans="1:15" x14ac:dyDescent="0.3">
      <c r="J8" s="4" t="s">
        <v>3</v>
      </c>
      <c r="K8" s="4" t="s">
        <v>0</v>
      </c>
      <c r="M8" s="4" t="s">
        <v>4</v>
      </c>
      <c r="N8" s="5" t="s">
        <v>0</v>
      </c>
      <c r="O8" s="4" t="s">
        <v>4</v>
      </c>
    </row>
    <row r="9" spans="1:15" x14ac:dyDescent="0.3">
      <c r="A9" s="6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8" t="s">
        <v>14</v>
      </c>
      <c r="K9" s="8" t="s">
        <v>15</v>
      </c>
      <c r="M9" s="8" t="s">
        <v>15</v>
      </c>
      <c r="N9" s="9" t="s">
        <v>16</v>
      </c>
      <c r="O9" s="8" t="s">
        <v>16</v>
      </c>
    </row>
    <row r="10" spans="1:15" ht="20.100000000000001" customHeight="1" x14ac:dyDescent="0.3">
      <c r="E10" s="4"/>
      <c r="F10" s="4"/>
      <c r="G10" s="4"/>
      <c r="H10" s="4"/>
      <c r="I10" s="4"/>
      <c r="J10" s="8"/>
      <c r="K10" s="8"/>
      <c r="N10" s="9"/>
    </row>
    <row r="11" spans="1:15" x14ac:dyDescent="0.3">
      <c r="A11" s="2" t="s">
        <v>17</v>
      </c>
      <c r="B11" s="4">
        <v>135311</v>
      </c>
      <c r="C11" s="4">
        <v>53</v>
      </c>
      <c r="D11" s="10">
        <v>800000</v>
      </c>
      <c r="E11" s="10">
        <v>96838</v>
      </c>
      <c r="F11" s="10">
        <f>38224+4627</f>
        <v>42851</v>
      </c>
      <c r="G11" s="10">
        <f>SUM(D11:F11)</f>
        <v>939689</v>
      </c>
      <c r="H11" s="10">
        <f>(G11/$G$25)*776132</f>
        <v>37927.060879904348</v>
      </c>
      <c r="I11" s="10">
        <f>SUM(G11:H11)</f>
        <v>977616.06087990431</v>
      </c>
      <c r="J11" s="11">
        <v>3.774E-3</v>
      </c>
      <c r="K11" s="12">
        <f>I11*J11</f>
        <v>3689.5230137607587</v>
      </c>
      <c r="M11" s="10">
        <f>+K11*C11</f>
        <v>195544.7197293202</v>
      </c>
      <c r="N11" s="13">
        <f>+M11/40</f>
        <v>4888.6179932330051</v>
      </c>
      <c r="O11" s="10">
        <f>+N11*40</f>
        <v>195544.7197293202</v>
      </c>
    </row>
    <row r="12" spans="1:15" x14ac:dyDescent="0.3">
      <c r="A12" s="2" t="s">
        <v>18</v>
      </c>
      <c r="B12" s="4">
        <v>135311</v>
      </c>
      <c r="C12" s="4">
        <v>53</v>
      </c>
      <c r="D12" s="10">
        <v>260000</v>
      </c>
      <c r="E12" s="10">
        <v>31472</v>
      </c>
      <c r="F12" s="10">
        <f>8061+4141+2113+2248+976+501+256+272</f>
        <v>18568</v>
      </c>
      <c r="G12" s="10">
        <f t="shared" ref="G12:G24" si="0">SUM(D12:F12)</f>
        <v>310040</v>
      </c>
      <c r="H12" s="10">
        <f>(G12/$G$25)*776132</f>
        <v>12513.614563121993</v>
      </c>
      <c r="I12" s="10">
        <f t="shared" ref="I12:I24" si="1">SUM(G12:H12)</f>
        <v>322553.61456312198</v>
      </c>
      <c r="J12" s="11">
        <v>3.774E-3</v>
      </c>
      <c r="K12" s="12">
        <f>I12*J12</f>
        <v>1217.3173413612224</v>
      </c>
      <c r="M12" s="10">
        <f t="shared" ref="M12:M15" si="2">+K12*C12</f>
        <v>64517.819092144782</v>
      </c>
      <c r="N12" s="13">
        <f t="shared" ref="N12:N15" si="3">+M12/40</f>
        <v>1612.9454773036196</v>
      </c>
      <c r="O12" s="10">
        <f t="shared" ref="O12:O15" si="4">+N12*40</f>
        <v>64517.819092144782</v>
      </c>
    </row>
    <row r="13" spans="1:15" x14ac:dyDescent="0.3">
      <c r="A13" s="2" t="s">
        <v>19</v>
      </c>
      <c r="B13" s="4">
        <v>135311</v>
      </c>
      <c r="C13" s="4">
        <v>53</v>
      </c>
      <c r="D13" s="10">
        <v>160000</v>
      </c>
      <c r="E13" s="10">
        <v>19368</v>
      </c>
      <c r="F13" s="10">
        <f>4961+601</f>
        <v>5562</v>
      </c>
      <c r="G13" s="10">
        <f t="shared" si="0"/>
        <v>184930</v>
      </c>
      <c r="H13" s="10">
        <f>(G13/$G$25)*776132</f>
        <v>7464.0134858668243</v>
      </c>
      <c r="I13" s="10">
        <f t="shared" si="1"/>
        <v>192394.01348586683</v>
      </c>
      <c r="J13" s="11">
        <v>3.774E-3</v>
      </c>
      <c r="K13" s="12">
        <f>I13*J13</f>
        <v>726.09500689566141</v>
      </c>
      <c r="M13" s="10">
        <f t="shared" si="2"/>
        <v>38483.035365470052</v>
      </c>
      <c r="N13" s="13">
        <f t="shared" si="3"/>
        <v>962.07588413675126</v>
      </c>
      <c r="O13" s="10">
        <f t="shared" si="4"/>
        <v>38483.035365470052</v>
      </c>
    </row>
    <row r="14" spans="1:15" x14ac:dyDescent="0.3">
      <c r="A14" s="2" t="s">
        <v>20</v>
      </c>
      <c r="B14" s="4">
        <v>135311</v>
      </c>
      <c r="C14" s="4">
        <v>53</v>
      </c>
      <c r="D14" s="10">
        <v>1065000</v>
      </c>
      <c r="E14" s="10">
        <v>128916</v>
      </c>
      <c r="F14" s="10"/>
      <c r="G14" s="10">
        <f t="shared" ref="G14:G15" si="5">SUM(D14:F14)</f>
        <v>1193916</v>
      </c>
      <c r="H14" s="10">
        <f>(G14/$G$25)*776132</f>
        <v>48187.990726178417</v>
      </c>
      <c r="I14" s="10">
        <f t="shared" si="1"/>
        <v>1242103.9907261785</v>
      </c>
      <c r="J14" s="11">
        <v>3.774E-3</v>
      </c>
      <c r="K14" s="12">
        <f>I14*J14</f>
        <v>4687.7004610005979</v>
      </c>
      <c r="M14" s="10">
        <f t="shared" si="2"/>
        <v>248448.12443303168</v>
      </c>
      <c r="N14" s="13">
        <f t="shared" si="3"/>
        <v>6211.2031108257925</v>
      </c>
      <c r="O14" s="10">
        <f t="shared" si="4"/>
        <v>248448.12443303171</v>
      </c>
    </row>
    <row r="15" spans="1:15" x14ac:dyDescent="0.3">
      <c r="A15" s="2" t="s">
        <v>21</v>
      </c>
      <c r="B15" s="4">
        <v>135311</v>
      </c>
      <c r="C15" s="4">
        <v>53</v>
      </c>
      <c r="D15" s="14">
        <v>0</v>
      </c>
      <c r="E15" s="10">
        <v>0</v>
      </c>
      <c r="F15" s="10">
        <f>562840+68131</f>
        <v>630971</v>
      </c>
      <c r="G15" s="14">
        <f t="shared" si="5"/>
        <v>630971</v>
      </c>
      <c r="H15" s="14">
        <f>(G15/$G$25)*776132</f>
        <v>25466.803943064271</v>
      </c>
      <c r="I15" s="14">
        <f t="shared" si="1"/>
        <v>656437.8039430643</v>
      </c>
      <c r="J15" s="11">
        <v>3.774E-3</v>
      </c>
      <c r="K15" s="15">
        <f>I15*J15</f>
        <v>2477.3962720811246</v>
      </c>
      <c r="M15" s="14">
        <f t="shared" si="2"/>
        <v>131302.0024202996</v>
      </c>
      <c r="N15" s="16">
        <f t="shared" si="3"/>
        <v>3282.5500605074899</v>
      </c>
      <c r="O15" s="14">
        <f t="shared" si="4"/>
        <v>131302.0024202996</v>
      </c>
    </row>
    <row r="16" spans="1:15" x14ac:dyDescent="0.3">
      <c r="A16" s="17" t="s">
        <v>22</v>
      </c>
      <c r="D16" s="18">
        <f>SUM(D11:D15)</f>
        <v>2285000</v>
      </c>
      <c r="E16" s="19"/>
      <c r="F16" s="19"/>
      <c r="G16" s="18">
        <f>SUM(G11:G15)</f>
        <v>3259546</v>
      </c>
      <c r="H16" s="18">
        <f>SUM(H11:H15)</f>
        <v>131559.48359813585</v>
      </c>
      <c r="I16" s="18">
        <f>SUM(I11:I15)</f>
        <v>3391105.4835981354</v>
      </c>
      <c r="J16" s="20"/>
      <c r="K16" s="10">
        <f>SUM(K11:K15)</f>
        <v>12798.032095099366</v>
      </c>
      <c r="M16" s="10">
        <f>SUM(M11:M15)</f>
        <v>678295.70104026631</v>
      </c>
      <c r="N16" s="13">
        <f>SUM(N11:N15)</f>
        <v>16957.392526006657</v>
      </c>
      <c r="O16" s="10">
        <f>SUM(O11:O15)</f>
        <v>678295.70104026631</v>
      </c>
    </row>
    <row r="17" spans="1:15" x14ac:dyDescent="0.3">
      <c r="D17" s="19"/>
      <c r="E17" s="19"/>
      <c r="F17" s="19"/>
      <c r="G17" s="19"/>
      <c r="H17" s="19"/>
      <c r="I17" s="21"/>
      <c r="J17" s="20"/>
      <c r="K17" s="12"/>
      <c r="M17" s="10"/>
      <c r="N17" s="22"/>
      <c r="O17" s="10"/>
    </row>
    <row r="18" spans="1:15" x14ac:dyDescent="0.3">
      <c r="A18" s="2" t="s">
        <v>23</v>
      </c>
      <c r="B18" s="4">
        <v>135200</v>
      </c>
      <c r="C18" s="4">
        <v>80</v>
      </c>
      <c r="D18" s="10">
        <v>2800000</v>
      </c>
      <c r="E18" s="10">
        <v>338934</v>
      </c>
      <c r="F18" s="10"/>
      <c r="G18" s="10">
        <f t="shared" si="0"/>
        <v>3138934</v>
      </c>
      <c r="H18" s="10">
        <f>(G18/$G$25)*776132</f>
        <v>126691.4276063694</v>
      </c>
      <c r="I18" s="10">
        <f t="shared" si="1"/>
        <v>3265625.4276063694</v>
      </c>
      <c r="J18" s="11">
        <v>1.25E-3</v>
      </c>
      <c r="K18" s="12">
        <f>I18*J18</f>
        <v>4082.0317845079617</v>
      </c>
      <c r="M18" s="10">
        <f>+K18*C18</f>
        <v>326562.54276063695</v>
      </c>
      <c r="N18" s="13">
        <f>+M18/40</f>
        <v>8164.0635690159233</v>
      </c>
      <c r="O18" s="10">
        <f>+N18*40</f>
        <v>326562.54276063695</v>
      </c>
    </row>
    <row r="19" spans="1:15" x14ac:dyDescent="0.3">
      <c r="D19" s="10"/>
      <c r="E19" s="10"/>
      <c r="F19" s="10"/>
      <c r="G19" s="10"/>
      <c r="H19" s="10"/>
      <c r="I19" s="21"/>
      <c r="J19" s="20"/>
      <c r="K19" s="12"/>
      <c r="M19" s="10"/>
      <c r="N19" s="22"/>
      <c r="O19" s="10"/>
    </row>
    <row r="20" spans="1:15" x14ac:dyDescent="0.3">
      <c r="A20" s="2" t="s">
        <v>24</v>
      </c>
      <c r="B20" s="4">
        <v>135510</v>
      </c>
      <c r="C20" s="4">
        <v>55</v>
      </c>
      <c r="D20" s="10">
        <f>1500000*0.9</f>
        <v>1350000</v>
      </c>
      <c r="E20" s="10">
        <f>181572*0.9</f>
        <v>163414.80000000002</v>
      </c>
      <c r="F20" s="10"/>
      <c r="G20" s="10">
        <f t="shared" si="0"/>
        <v>1513414.8</v>
      </c>
      <c r="H20" s="10">
        <f>(G20/$G$25)*776132</f>
        <v>61083.374665605596</v>
      </c>
      <c r="I20" s="10">
        <f t="shared" si="1"/>
        <v>1574498.1746656056</v>
      </c>
      <c r="J20" s="11">
        <v>9.0910000000000001E-3</v>
      </c>
      <c r="K20" s="12">
        <f>I20*J20</f>
        <v>14313.762905885022</v>
      </c>
      <c r="M20" s="10">
        <f>+K20*C20</f>
        <v>787256.95982367615</v>
      </c>
      <c r="N20" s="13">
        <f>+M20/40</f>
        <v>19681.423995591904</v>
      </c>
      <c r="O20" s="10">
        <f>+N20*40</f>
        <v>787256.95982367615</v>
      </c>
    </row>
    <row r="21" spans="1:15" x14ac:dyDescent="0.3">
      <c r="D21" s="10"/>
      <c r="E21" s="10"/>
      <c r="F21" s="10"/>
      <c r="G21" s="10"/>
      <c r="H21" s="10"/>
      <c r="I21" s="21"/>
      <c r="J21" s="20"/>
      <c r="K21" s="12"/>
      <c r="M21" s="10"/>
      <c r="N21" s="22"/>
      <c r="O21" s="10"/>
    </row>
    <row r="22" spans="1:15" x14ac:dyDescent="0.3">
      <c r="A22" s="2" t="s">
        <v>25</v>
      </c>
      <c r="B22" s="4">
        <v>135610</v>
      </c>
      <c r="C22" s="4">
        <v>70</v>
      </c>
      <c r="D22" s="10">
        <f>1500000*0.1</f>
        <v>150000</v>
      </c>
      <c r="E22" s="10">
        <f>181572*0.1</f>
        <v>18157.2</v>
      </c>
      <c r="F22" s="10"/>
      <c r="G22" s="10">
        <f t="shared" si="0"/>
        <v>168157.2</v>
      </c>
      <c r="H22" s="10">
        <f>(G22/$G$25)*776132</f>
        <v>6787.0416295117329</v>
      </c>
      <c r="I22" s="10">
        <f t="shared" si="1"/>
        <v>174944.24162951176</v>
      </c>
      <c r="J22" s="11">
        <v>5.0000000000000001E-3</v>
      </c>
      <c r="K22" s="12">
        <f>I22*J22</f>
        <v>874.72120814755885</v>
      </c>
      <c r="M22" s="10">
        <f>+K22*C22</f>
        <v>61230.484570329121</v>
      </c>
      <c r="N22" s="13">
        <f>+M22/40</f>
        <v>1530.7621142582279</v>
      </c>
      <c r="O22" s="10">
        <f>+N22*40</f>
        <v>61230.484570329121</v>
      </c>
    </row>
    <row r="23" spans="1:15" x14ac:dyDescent="0.3">
      <c r="D23" s="10"/>
      <c r="E23" s="10"/>
      <c r="F23" s="10"/>
      <c r="G23" s="10"/>
      <c r="H23" s="10"/>
      <c r="I23" s="21"/>
      <c r="J23" s="20"/>
      <c r="K23" s="12"/>
      <c r="M23" s="10"/>
      <c r="N23" s="22"/>
      <c r="O23" s="10"/>
    </row>
    <row r="24" spans="1:15" x14ac:dyDescent="0.3">
      <c r="A24" s="23" t="s">
        <v>26</v>
      </c>
      <c r="B24" s="24" t="s">
        <v>27</v>
      </c>
      <c r="C24" s="4">
        <v>40</v>
      </c>
      <c r="D24" s="14">
        <v>9350000</v>
      </c>
      <c r="E24" s="14">
        <v>1131797</v>
      </c>
      <c r="F24" s="14">
        <f>289902+148919+76004+80836+35092+18026+9200+9785</f>
        <v>667764</v>
      </c>
      <c r="G24" s="14">
        <f t="shared" si="0"/>
        <v>11149561</v>
      </c>
      <c r="H24" s="14">
        <f>(G24/$G$25)*776132</f>
        <v>450010.67250037735</v>
      </c>
      <c r="I24" s="14">
        <f t="shared" si="1"/>
        <v>11599571.672500378</v>
      </c>
      <c r="J24" s="11">
        <v>2.5000000000000001E-3</v>
      </c>
      <c r="K24" s="15">
        <f>I24*J24</f>
        <v>28998.929181250944</v>
      </c>
      <c r="M24" s="15">
        <f>+K24*C24</f>
        <v>1159957.1672500377</v>
      </c>
      <c r="N24" s="16">
        <f>+M24/40</f>
        <v>28998.92918125094</v>
      </c>
      <c r="O24" s="14">
        <f>+N24*40</f>
        <v>1159957.1672500377</v>
      </c>
    </row>
    <row r="25" spans="1:15" x14ac:dyDescent="0.3">
      <c r="A25" s="17" t="s">
        <v>28</v>
      </c>
      <c r="D25" s="18">
        <f>SUM(D16:D24)</f>
        <v>15935000</v>
      </c>
      <c r="G25" s="18">
        <f>SUM(G16:G24)</f>
        <v>19229613</v>
      </c>
      <c r="H25" s="18">
        <f>SUM(H16:H24)</f>
        <v>776132</v>
      </c>
      <c r="I25" s="18">
        <f>SUM(I16:I24)</f>
        <v>20005745</v>
      </c>
      <c r="J25" s="25"/>
      <c r="K25" s="18">
        <f>SUM(K16:K24)</f>
        <v>61067.477174890853</v>
      </c>
      <c r="M25" s="18">
        <f>SUM(M16:M24)</f>
        <v>3013302.8554449463</v>
      </c>
      <c r="N25" s="26">
        <f>SUM(N16:N24)</f>
        <v>75332.571386123658</v>
      </c>
      <c r="O25" s="18">
        <f>SUM(O16:O24)</f>
        <v>3013302.8554449463</v>
      </c>
    </row>
    <row r="26" spans="1:15" x14ac:dyDescent="0.3">
      <c r="D26" s="27"/>
      <c r="E26" s="27"/>
    </row>
    <row r="27" spans="1:15" x14ac:dyDescent="0.3">
      <c r="D27" s="27"/>
      <c r="E27" s="27"/>
    </row>
    <row r="28" spans="1:15" x14ac:dyDescent="0.3">
      <c r="A28" s="31" t="s">
        <v>29</v>
      </c>
      <c r="B28" s="31"/>
      <c r="C28" s="31"/>
      <c r="D28" s="27"/>
      <c r="E28" s="27"/>
    </row>
    <row r="29" spans="1:15" x14ac:dyDescent="0.3">
      <c r="A29" s="31"/>
      <c r="B29" s="31"/>
      <c r="C29" s="31"/>
      <c r="D29" s="27"/>
      <c r="E29" s="27"/>
    </row>
    <row r="30" spans="1:15" x14ac:dyDescent="0.3">
      <c r="A30" s="31"/>
      <c r="B30" s="31"/>
      <c r="C30" s="31"/>
      <c r="D30" s="27"/>
      <c r="E30" s="27"/>
    </row>
    <row r="31" spans="1:15" x14ac:dyDescent="0.3">
      <c r="A31" s="31"/>
      <c r="B31" s="31"/>
      <c r="C31" s="31"/>
      <c r="D31" s="27"/>
      <c r="E31" s="27"/>
    </row>
    <row r="32" spans="1:15" x14ac:dyDescent="0.3">
      <c r="A32" s="27"/>
      <c r="B32" s="20"/>
      <c r="C32" s="20"/>
      <c r="D32" s="27"/>
      <c r="E32" s="27"/>
    </row>
    <row r="33" spans="1:5" x14ac:dyDescent="0.3">
      <c r="A33" s="27"/>
      <c r="B33" s="20"/>
      <c r="C33" s="20"/>
      <c r="D33" s="27"/>
      <c r="E33" s="27"/>
    </row>
  </sheetData>
  <mergeCells count="1">
    <mergeCell ref="A28:C31"/>
  </mergeCells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Central Hudson Gas and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Oakes, Crystal</dc:creator>
  <cp:lastModifiedBy>Bissell, Garrett E</cp:lastModifiedBy>
  <dcterms:created xsi:type="dcterms:W3CDTF">2020-12-17T14:32:20Z</dcterms:created>
  <dcterms:modified xsi:type="dcterms:W3CDTF">2023-10-19T20:57:40Z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2023-10-19T20:55:28Z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5c84df59-537a-4ed7-bf44-595dac469ebb</vt:lpwstr>
  </property>
  <property fmtid="{D5CDD505-2E9C-101B-9397-08002B2CF9AE}" pid="8" name="MSIP_Label_a5049dce-8671-4c79-90d7-f6ec79470f4e_ContentBits">
    <vt:lpwstr>0</vt:lpwstr>
  </property>
  <property fmtid="{D5CDD505-2E9C-101B-9397-08002B2CF9AE}" pid="9" name="_AdHocReviewCycleID">
    <vt:i4>-1673022254</vt:i4>
  </property>
  <property fmtid="{D5CDD505-2E9C-101B-9397-08002B2CF9AE}" pid="10" name="_NewReviewCycle">
    <vt:lpwstr/>
  </property>
  <property fmtid="{D5CDD505-2E9C-101B-9397-08002B2CF9AE}" pid="11" name="_EmailSubject">
    <vt:lpwstr>[EXT] RE: Central Hudson RS19 Filing - Deficiency Response (FERC Docket No. ER23-2507)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