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issell\Transmission Rate Filings\Central Hudson\Cen Hud RS19 Formula Rate\Deficiency Response\"/>
    </mc:Choice>
  </mc:AlternateContent>
  <xr:revisionPtr revIDLastSave="0" documentId="13_ncr:1_{DC6F6871-8152-466E-BB6C-721508642C8C}" xr6:coauthVersionLast="47" xr6:coauthVersionMax="47" xr10:uidLastSave="{00000000-0000-0000-0000-000000000000}"/>
  <bookViews>
    <workbookView xWindow="22932" yWindow="-108" windowWidth="23256" windowHeight="14616" tabRatio="582" xr2:uid="{00000000-000D-0000-FFFF-FFFF00000000}"/>
  </bookViews>
  <sheets>
    <sheet name="Cover" sheetId="2" r:id="rId1"/>
    <sheet name="Schedule A" sheetId="1" r:id="rId2"/>
    <sheet name="Schedule B" sheetId="3" r:id="rId3"/>
    <sheet name="Schedule C" sheetId="4" r:id="rId4"/>
    <sheet name="Schedule D" sheetId="6" r:id="rId5"/>
  </sheets>
  <definedNames>
    <definedName name="_xlnm.Print_Area" localSheetId="1">'Schedule A'!$A$1:$H$68</definedName>
    <definedName name="_xlnm.Print_Area" localSheetId="2">'Schedule B'!$A$1:$AD$137</definedName>
    <definedName name="_xlnm.Print_Area" localSheetId="3">'Schedule C'!$A$1:$T$91</definedName>
    <definedName name="_xlnm.Print_Area" localSheetId="4">'Schedule D'!$A$1:$U$107</definedName>
    <definedName name="_xlnm.Print_Titles" localSheetId="2">'Schedule B'!$A:$D</definedName>
    <definedName name="_xlnm.Print_Titles" localSheetId="3">'Schedule C'!$A:$D</definedName>
    <definedName name="_xlnm.Print_Titles" localSheetId="4">'Schedule D'!$A:$D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" i="3" l="1"/>
  <c r="C55" i="3"/>
  <c r="I14" i="6" l="1"/>
  <c r="J14" i="6"/>
  <c r="K14" i="6" s="1"/>
  <c r="R14" i="6"/>
  <c r="T14" i="6"/>
  <c r="I16" i="6"/>
  <c r="J16" i="6"/>
  <c r="K16" i="6" s="1"/>
  <c r="R16" i="6"/>
  <c r="T16" i="6"/>
  <c r="I17" i="6"/>
  <c r="J17" i="6"/>
  <c r="K17" i="6" s="1"/>
  <c r="R17" i="6"/>
  <c r="T17" i="6"/>
  <c r="T19" i="6" s="1"/>
  <c r="I18" i="6"/>
  <c r="J18" i="6"/>
  <c r="K18" i="6"/>
  <c r="R18" i="6"/>
  <c r="T18" i="6"/>
  <c r="C19" i="6"/>
  <c r="D19" i="6"/>
  <c r="S19" i="6"/>
  <c r="S27" i="6" s="1"/>
  <c r="I21" i="6"/>
  <c r="J21" i="6"/>
  <c r="K21" i="6" s="1"/>
  <c r="R21" i="6"/>
  <c r="R24" i="6" s="1"/>
  <c r="T21" i="6"/>
  <c r="I22" i="6"/>
  <c r="J22" i="6"/>
  <c r="J24" i="6" s="1"/>
  <c r="K22" i="6"/>
  <c r="R22" i="6"/>
  <c r="T22" i="6"/>
  <c r="I23" i="6"/>
  <c r="I24" i="6" s="1"/>
  <c r="H24" i="6" s="1"/>
  <c r="J23" i="6"/>
  <c r="K23" i="6"/>
  <c r="R23" i="6"/>
  <c r="T23" i="6"/>
  <c r="C24" i="6"/>
  <c r="C27" i="6" s="1"/>
  <c r="D24" i="6"/>
  <c r="S24" i="6"/>
  <c r="I38" i="6"/>
  <c r="K38" i="6"/>
  <c r="R38" i="6"/>
  <c r="T38" i="6"/>
  <c r="R39" i="6"/>
  <c r="T39" i="6"/>
  <c r="I41" i="6"/>
  <c r="K41" i="6"/>
  <c r="R41" i="6"/>
  <c r="T41" i="6"/>
  <c r="I43" i="6"/>
  <c r="K43" i="6"/>
  <c r="R43" i="6"/>
  <c r="T43" i="6"/>
  <c r="R44" i="6"/>
  <c r="T44" i="6"/>
  <c r="I46" i="6"/>
  <c r="K46" i="6"/>
  <c r="R46" i="6"/>
  <c r="T46" i="6"/>
  <c r="R47" i="6"/>
  <c r="T47" i="6"/>
  <c r="I49" i="6"/>
  <c r="K49" i="6"/>
  <c r="R49" i="6"/>
  <c r="T49" i="6"/>
  <c r="R50" i="6"/>
  <c r="T50" i="6"/>
  <c r="I52" i="6"/>
  <c r="K52" i="6"/>
  <c r="R52" i="6"/>
  <c r="T52" i="6"/>
  <c r="R53" i="6"/>
  <c r="T53" i="6"/>
  <c r="I55" i="6"/>
  <c r="K55" i="6"/>
  <c r="R55" i="6"/>
  <c r="T55" i="6"/>
  <c r="R56" i="6"/>
  <c r="T56" i="6"/>
  <c r="I58" i="6"/>
  <c r="K58" i="6"/>
  <c r="R58" i="6"/>
  <c r="T58" i="6"/>
  <c r="R59" i="6"/>
  <c r="T59" i="6"/>
  <c r="I75" i="6"/>
  <c r="K75" i="6"/>
  <c r="R75" i="6"/>
  <c r="T75" i="6"/>
  <c r="R76" i="6"/>
  <c r="T76" i="6"/>
  <c r="I78" i="6"/>
  <c r="K78" i="6"/>
  <c r="R78" i="6"/>
  <c r="T78" i="6"/>
  <c r="R79" i="6"/>
  <c r="T79" i="6"/>
  <c r="I81" i="6"/>
  <c r="K81" i="6"/>
  <c r="R81" i="6"/>
  <c r="T81" i="6"/>
  <c r="I83" i="6"/>
  <c r="K83" i="6"/>
  <c r="R83" i="6"/>
  <c r="T83" i="6"/>
  <c r="R84" i="6"/>
  <c r="T84" i="6"/>
  <c r="I86" i="6"/>
  <c r="K86" i="6"/>
  <c r="R86" i="6"/>
  <c r="T86" i="6"/>
  <c r="I88" i="6"/>
  <c r="K88" i="6"/>
  <c r="R88" i="6"/>
  <c r="T88" i="6"/>
  <c r="T89" i="6"/>
  <c r="C91" i="6"/>
  <c r="D91" i="6"/>
  <c r="J91" i="6"/>
  <c r="S91" i="6"/>
  <c r="I95" i="6"/>
  <c r="K95" i="6"/>
  <c r="R95" i="6"/>
  <c r="T95" i="6"/>
  <c r="T101" i="6" s="1"/>
  <c r="R96" i="6"/>
  <c r="K97" i="6"/>
  <c r="R97" i="6"/>
  <c r="T97" i="6"/>
  <c r="K99" i="6"/>
  <c r="R99" i="6"/>
  <c r="T99" i="6"/>
  <c r="C101" i="6"/>
  <c r="B25" i="1" s="1"/>
  <c r="B59" i="1" s="1"/>
  <c r="D101" i="6"/>
  <c r="I101" i="6"/>
  <c r="E25" i="1" s="1"/>
  <c r="J101" i="6"/>
  <c r="F25" i="1" s="1"/>
  <c r="S101" i="6"/>
  <c r="F59" i="1" s="1"/>
  <c r="I16" i="4"/>
  <c r="J16" i="4"/>
  <c r="K16" i="4" s="1"/>
  <c r="K26" i="4" s="1"/>
  <c r="Q16" i="4"/>
  <c r="S16" i="4"/>
  <c r="I17" i="4"/>
  <c r="K17" i="4"/>
  <c r="Q17" i="4"/>
  <c r="S17" i="4"/>
  <c r="S26" i="4" s="1"/>
  <c r="I18" i="4"/>
  <c r="K18" i="4"/>
  <c r="Q18" i="4"/>
  <c r="S18" i="4"/>
  <c r="I20" i="4"/>
  <c r="K20" i="4"/>
  <c r="Q20" i="4"/>
  <c r="S20" i="4"/>
  <c r="I22" i="4"/>
  <c r="K22" i="4"/>
  <c r="Q22" i="4"/>
  <c r="S22" i="4"/>
  <c r="I23" i="4"/>
  <c r="K23" i="4"/>
  <c r="Q23" i="4"/>
  <c r="S23" i="4"/>
  <c r="I24" i="4"/>
  <c r="K24" i="4"/>
  <c r="Q24" i="4"/>
  <c r="S24" i="4"/>
  <c r="C26" i="4"/>
  <c r="Q26" i="4" s="1"/>
  <c r="D26" i="4"/>
  <c r="D52" i="4" s="1"/>
  <c r="R26" i="4"/>
  <c r="I29" i="4"/>
  <c r="Q29" i="4"/>
  <c r="I30" i="4"/>
  <c r="Q30" i="4"/>
  <c r="I32" i="4"/>
  <c r="K32" i="4"/>
  <c r="Q32" i="4"/>
  <c r="S32" i="4"/>
  <c r="I34" i="4"/>
  <c r="J34" i="4"/>
  <c r="J50" i="4" s="1"/>
  <c r="Q34" i="4"/>
  <c r="S34" i="4"/>
  <c r="I36" i="4"/>
  <c r="K36" i="4"/>
  <c r="Q36" i="4"/>
  <c r="S36" i="4"/>
  <c r="I37" i="4"/>
  <c r="K37" i="4"/>
  <c r="Q37" i="4"/>
  <c r="S37" i="4"/>
  <c r="I38" i="4"/>
  <c r="K38" i="4"/>
  <c r="Q38" i="4"/>
  <c r="S38" i="4"/>
  <c r="I40" i="4"/>
  <c r="K40" i="4"/>
  <c r="Q40" i="4"/>
  <c r="S40" i="4"/>
  <c r="I42" i="4"/>
  <c r="K42" i="4"/>
  <c r="Q42" i="4"/>
  <c r="S42" i="4"/>
  <c r="I44" i="4"/>
  <c r="K44" i="4"/>
  <c r="Q44" i="4"/>
  <c r="S44" i="4"/>
  <c r="I46" i="4"/>
  <c r="K46" i="4"/>
  <c r="Q46" i="4"/>
  <c r="S46" i="4"/>
  <c r="I48" i="4"/>
  <c r="K48" i="4"/>
  <c r="Q48" i="4"/>
  <c r="S48" i="4"/>
  <c r="C50" i="4"/>
  <c r="Q50" i="4" s="1"/>
  <c r="D50" i="4"/>
  <c r="R50" i="4"/>
  <c r="R52" i="4" s="1"/>
  <c r="R89" i="4" s="1"/>
  <c r="F56" i="1" s="1"/>
  <c r="P52" i="4"/>
  <c r="I70" i="4"/>
  <c r="K70" i="4"/>
  <c r="Q70" i="4"/>
  <c r="S70" i="4"/>
  <c r="I71" i="4"/>
  <c r="K71" i="4"/>
  <c r="Q71" i="4"/>
  <c r="S71" i="4"/>
  <c r="I74" i="4"/>
  <c r="K74" i="4"/>
  <c r="Q74" i="4"/>
  <c r="S74" i="4"/>
  <c r="I75" i="4"/>
  <c r="K75" i="4"/>
  <c r="Q75" i="4"/>
  <c r="S75" i="4"/>
  <c r="I77" i="4"/>
  <c r="K77" i="4"/>
  <c r="Q77" i="4"/>
  <c r="S77" i="4"/>
  <c r="I78" i="4"/>
  <c r="K78" i="4"/>
  <c r="Q78" i="4"/>
  <c r="S78" i="4"/>
  <c r="C80" i="4"/>
  <c r="I80" i="4" s="1"/>
  <c r="K80" i="4"/>
  <c r="S80" i="4"/>
  <c r="I81" i="4"/>
  <c r="K81" i="4"/>
  <c r="Q81" i="4"/>
  <c r="S81" i="4"/>
  <c r="I83" i="4"/>
  <c r="K83" i="4"/>
  <c r="Q83" i="4"/>
  <c r="S83" i="4"/>
  <c r="I84" i="4"/>
  <c r="K84" i="4"/>
  <c r="Q84" i="4"/>
  <c r="S84" i="4"/>
  <c r="D86" i="4"/>
  <c r="J86" i="4"/>
  <c r="R86" i="4"/>
  <c r="I16" i="3"/>
  <c r="K16" i="3"/>
  <c r="Q16" i="3"/>
  <c r="Y16" i="3"/>
  <c r="AA16" i="3"/>
  <c r="I18" i="3"/>
  <c r="K18" i="3"/>
  <c r="Q18" i="3"/>
  <c r="Y18" i="3"/>
  <c r="AA18" i="3"/>
  <c r="I20" i="3"/>
  <c r="K20" i="3"/>
  <c r="Q20" i="3"/>
  <c r="Y20" i="3"/>
  <c r="AA20" i="3"/>
  <c r="I22" i="3"/>
  <c r="K22" i="3"/>
  <c r="Q22" i="3"/>
  <c r="Y22" i="3"/>
  <c r="AA22" i="3"/>
  <c r="I24" i="3"/>
  <c r="K24" i="3"/>
  <c r="Q24" i="3"/>
  <c r="Y24" i="3"/>
  <c r="AA24" i="3"/>
  <c r="C26" i="3"/>
  <c r="D26" i="3"/>
  <c r="J26" i="3"/>
  <c r="Z26" i="3"/>
  <c r="I30" i="3"/>
  <c r="I42" i="3" s="1"/>
  <c r="H42" i="3" s="1"/>
  <c r="K30" i="3"/>
  <c r="Q30" i="3"/>
  <c r="Y30" i="3"/>
  <c r="AA30" i="3"/>
  <c r="I32" i="3"/>
  <c r="K32" i="3"/>
  <c r="K42" i="3" s="1"/>
  <c r="Q32" i="3"/>
  <c r="Y32" i="3"/>
  <c r="AA32" i="3"/>
  <c r="I34" i="3"/>
  <c r="K34" i="3"/>
  <c r="Q34" i="3"/>
  <c r="Y34" i="3"/>
  <c r="AA34" i="3"/>
  <c r="I36" i="3"/>
  <c r="K36" i="3"/>
  <c r="Q36" i="3"/>
  <c r="Y36" i="3"/>
  <c r="AA36" i="3"/>
  <c r="I38" i="3"/>
  <c r="K38" i="3"/>
  <c r="Q38" i="3"/>
  <c r="Y38" i="3"/>
  <c r="AA38" i="3"/>
  <c r="I40" i="3"/>
  <c r="K40" i="3"/>
  <c r="Q40" i="3"/>
  <c r="Q42" i="3" s="1"/>
  <c r="Y40" i="3"/>
  <c r="AA40" i="3"/>
  <c r="C42" i="3"/>
  <c r="D42" i="3"/>
  <c r="J42" i="3"/>
  <c r="Y42" i="3"/>
  <c r="Z42" i="3"/>
  <c r="C45" i="3"/>
  <c r="I45" i="3" s="1"/>
  <c r="D45" i="3"/>
  <c r="J45" i="3"/>
  <c r="Z45" i="3"/>
  <c r="I47" i="3"/>
  <c r="K47" i="3"/>
  <c r="Y47" i="3"/>
  <c r="AA47" i="3"/>
  <c r="I49" i="3"/>
  <c r="K49" i="3"/>
  <c r="Q49" i="3"/>
  <c r="Y49" i="3"/>
  <c r="AA49" i="3"/>
  <c r="I51" i="3"/>
  <c r="K51" i="3"/>
  <c r="Q51" i="3"/>
  <c r="Y51" i="3"/>
  <c r="AA51" i="3"/>
  <c r="I52" i="3"/>
  <c r="K52" i="3"/>
  <c r="Y52" i="3"/>
  <c r="AA52" i="3"/>
  <c r="I53" i="3"/>
  <c r="K53" i="3"/>
  <c r="Y53" i="3"/>
  <c r="AA53" i="3"/>
  <c r="I54" i="3"/>
  <c r="K54" i="3"/>
  <c r="Q54" i="3"/>
  <c r="Y54" i="3"/>
  <c r="AA54" i="3"/>
  <c r="I57" i="3"/>
  <c r="K57" i="3"/>
  <c r="Q57" i="3"/>
  <c r="Y57" i="3"/>
  <c r="AA57" i="3"/>
  <c r="C59" i="3"/>
  <c r="I59" i="3" s="1"/>
  <c r="D59" i="3"/>
  <c r="AA59" i="3"/>
  <c r="J59" i="3"/>
  <c r="K59" i="3" s="1"/>
  <c r="Z59" i="3"/>
  <c r="I61" i="3"/>
  <c r="K61" i="3"/>
  <c r="Q61" i="3"/>
  <c r="Y61" i="3"/>
  <c r="AA61" i="3"/>
  <c r="I62" i="3"/>
  <c r="Y62" i="3"/>
  <c r="AA62" i="3"/>
  <c r="I63" i="3"/>
  <c r="K63" i="3"/>
  <c r="Q63" i="3"/>
  <c r="Y63" i="3"/>
  <c r="AA63" i="3"/>
  <c r="I64" i="3"/>
  <c r="K64" i="3"/>
  <c r="Q64" i="3"/>
  <c r="Y64" i="3"/>
  <c r="AA64" i="3"/>
  <c r="I66" i="3"/>
  <c r="K66" i="3"/>
  <c r="Q66" i="3"/>
  <c r="Y66" i="3"/>
  <c r="AA66" i="3"/>
  <c r="I68" i="3"/>
  <c r="K68" i="3"/>
  <c r="Q68" i="3"/>
  <c r="Y68" i="3"/>
  <c r="AA68" i="3"/>
  <c r="D70" i="3"/>
  <c r="D133" i="3" s="1"/>
  <c r="J70" i="3"/>
  <c r="C87" i="3"/>
  <c r="I87" i="3" s="1"/>
  <c r="K87" i="3"/>
  <c r="AA87" i="3"/>
  <c r="I88" i="3"/>
  <c r="K88" i="3"/>
  <c r="Y88" i="3"/>
  <c r="AA88" i="3"/>
  <c r="I89" i="3"/>
  <c r="K89" i="3"/>
  <c r="Y89" i="3"/>
  <c r="AA89" i="3"/>
  <c r="I91" i="3"/>
  <c r="K91" i="3"/>
  <c r="Q91" i="3"/>
  <c r="Y91" i="3"/>
  <c r="AA91" i="3"/>
  <c r="I93" i="3"/>
  <c r="K93" i="3"/>
  <c r="Q93" i="3"/>
  <c r="Y93" i="3"/>
  <c r="AA93" i="3"/>
  <c r="I95" i="3"/>
  <c r="K95" i="3"/>
  <c r="Y95" i="3"/>
  <c r="AA95" i="3"/>
  <c r="I97" i="3"/>
  <c r="K97" i="3"/>
  <c r="Y97" i="3"/>
  <c r="AA97" i="3"/>
  <c r="I99" i="3"/>
  <c r="K99" i="3"/>
  <c r="Q99" i="3"/>
  <c r="Y99" i="3"/>
  <c r="AA99" i="3"/>
  <c r="I101" i="3"/>
  <c r="K101" i="3"/>
  <c r="Q101" i="3"/>
  <c r="Y101" i="3"/>
  <c r="AA101" i="3"/>
  <c r="I103" i="3"/>
  <c r="J103" i="3"/>
  <c r="K103" i="3" s="1"/>
  <c r="Q103" i="3"/>
  <c r="Y103" i="3"/>
  <c r="AA103" i="3"/>
  <c r="I105" i="3"/>
  <c r="J105" i="3"/>
  <c r="K105" i="3" s="1"/>
  <c r="Q105" i="3"/>
  <c r="Y105" i="3"/>
  <c r="AA105" i="3"/>
  <c r="I107" i="3"/>
  <c r="J107" i="3"/>
  <c r="K107" i="3" s="1"/>
  <c r="Q107" i="3"/>
  <c r="Y107" i="3"/>
  <c r="AA107" i="3"/>
  <c r="I109" i="3"/>
  <c r="J109" i="3"/>
  <c r="K109" i="3"/>
  <c r="Q109" i="3"/>
  <c r="Y109" i="3"/>
  <c r="AA109" i="3"/>
  <c r="I111" i="3"/>
  <c r="K111" i="3"/>
  <c r="Q111" i="3"/>
  <c r="Y111" i="3"/>
  <c r="AA111" i="3"/>
  <c r="I113" i="3"/>
  <c r="J113" i="3"/>
  <c r="K113" i="3" s="1"/>
  <c r="Q113" i="3"/>
  <c r="Y113" i="3"/>
  <c r="AA113" i="3"/>
  <c r="I115" i="3"/>
  <c r="J115" i="3"/>
  <c r="K115" i="3" s="1"/>
  <c r="Q115" i="3"/>
  <c r="Y115" i="3"/>
  <c r="AA115" i="3"/>
  <c r="I117" i="3"/>
  <c r="J117" i="3"/>
  <c r="K117" i="3"/>
  <c r="Q117" i="3"/>
  <c r="Y117" i="3"/>
  <c r="AA117" i="3"/>
  <c r="I119" i="3"/>
  <c r="K119" i="3"/>
  <c r="Q119" i="3"/>
  <c r="Y119" i="3"/>
  <c r="AA119" i="3"/>
  <c r="I121" i="3"/>
  <c r="J121" i="3"/>
  <c r="K121" i="3"/>
  <c r="Q121" i="3"/>
  <c r="Y121" i="3"/>
  <c r="AA121" i="3"/>
  <c r="D123" i="3"/>
  <c r="Z123" i="3"/>
  <c r="I127" i="3"/>
  <c r="J127" i="3"/>
  <c r="K127" i="3" s="1"/>
  <c r="Y127" i="3"/>
  <c r="AA127" i="3"/>
  <c r="I131" i="3"/>
  <c r="K131" i="3"/>
  <c r="Y131" i="3"/>
  <c r="E54" i="1" s="1"/>
  <c r="AA131" i="3"/>
  <c r="B20" i="1"/>
  <c r="B54" i="1"/>
  <c r="C20" i="1"/>
  <c r="C54" i="1"/>
  <c r="E20" i="1"/>
  <c r="F20" i="1"/>
  <c r="G20" i="1" s="1"/>
  <c r="H20" i="1" s="1"/>
  <c r="C25" i="1"/>
  <c r="C59" i="1" s="1"/>
  <c r="F54" i="1"/>
  <c r="D129" i="3"/>
  <c r="C19" i="1" s="1"/>
  <c r="K45" i="3"/>
  <c r="Q52" i="4" l="1"/>
  <c r="K19" i="6"/>
  <c r="J19" i="6"/>
  <c r="J27" i="6" s="1"/>
  <c r="J93" i="6" s="1"/>
  <c r="F24" i="1" s="1"/>
  <c r="I26" i="4"/>
  <c r="H26" i="4" s="1"/>
  <c r="H52" i="4" s="1"/>
  <c r="AA26" i="3"/>
  <c r="K26" i="3"/>
  <c r="K133" i="3" s="1"/>
  <c r="I50" i="4"/>
  <c r="H50" i="4" s="1"/>
  <c r="R101" i="6"/>
  <c r="E59" i="1" s="1"/>
  <c r="I91" i="6"/>
  <c r="I103" i="6" s="1"/>
  <c r="D27" i="6"/>
  <c r="R19" i="6"/>
  <c r="R27" i="6" s="1"/>
  <c r="J123" i="3"/>
  <c r="J129" i="3" s="1"/>
  <c r="F19" i="1" s="1"/>
  <c r="G19" i="1" s="1"/>
  <c r="G25" i="1"/>
  <c r="H25" i="1" s="1"/>
  <c r="I123" i="3"/>
  <c r="Y59" i="3"/>
  <c r="I86" i="4"/>
  <c r="T91" i="6"/>
  <c r="I19" i="6"/>
  <c r="K70" i="3"/>
  <c r="K129" i="3" s="1"/>
  <c r="AA42" i="3"/>
  <c r="AA133" i="3" s="1"/>
  <c r="Q26" i="3"/>
  <c r="K86" i="4"/>
  <c r="D89" i="4"/>
  <c r="C22" i="1" s="1"/>
  <c r="G59" i="1"/>
  <c r="H59" i="1" s="1"/>
  <c r="K101" i="6"/>
  <c r="R91" i="6"/>
  <c r="I70" i="3"/>
  <c r="I133" i="3" s="1"/>
  <c r="S50" i="4"/>
  <c r="S52" i="4" s="1"/>
  <c r="S89" i="4" s="1"/>
  <c r="Q59" i="3"/>
  <c r="G54" i="1"/>
  <c r="H54" i="1" s="1"/>
  <c r="AA123" i="3"/>
  <c r="I55" i="3"/>
  <c r="H55" i="3" s="1"/>
  <c r="Q129" i="3"/>
  <c r="I26" i="3"/>
  <c r="S86" i="4"/>
  <c r="C52" i="4"/>
  <c r="I65" i="3"/>
  <c r="H65" i="3" s="1"/>
  <c r="AA45" i="3"/>
  <c r="AA70" i="3" s="1"/>
  <c r="Q80" i="4"/>
  <c r="K91" i="6"/>
  <c r="T24" i="6"/>
  <c r="T27" i="6" s="1"/>
  <c r="T93" i="6" s="1"/>
  <c r="K24" i="6"/>
  <c r="G56" i="1"/>
  <c r="H56" i="1" s="1"/>
  <c r="C56" i="1"/>
  <c r="J103" i="6"/>
  <c r="D93" i="6"/>
  <c r="C24" i="1" s="1"/>
  <c r="D103" i="6"/>
  <c r="C103" i="6"/>
  <c r="C93" i="6"/>
  <c r="B24" i="1" s="1"/>
  <c r="B58" i="1" s="1"/>
  <c r="K27" i="6"/>
  <c r="K93" i="6" s="1"/>
  <c r="S93" i="6"/>
  <c r="F58" i="1" s="1"/>
  <c r="S103" i="6"/>
  <c r="K123" i="3"/>
  <c r="I129" i="3"/>
  <c r="H26" i="3"/>
  <c r="K50" i="4"/>
  <c r="K52" i="4" s="1"/>
  <c r="I27" i="6"/>
  <c r="I93" i="6" s="1"/>
  <c r="E24" i="1" s="1"/>
  <c r="C53" i="1"/>
  <c r="Q133" i="3"/>
  <c r="C70" i="3"/>
  <c r="K34" i="4"/>
  <c r="Z70" i="3"/>
  <c r="Z133" i="3" s="1"/>
  <c r="J26" i="4"/>
  <c r="J52" i="4" s="1"/>
  <c r="J89" i="4" s="1"/>
  <c r="F22" i="1" s="1"/>
  <c r="G22" i="1" s="1"/>
  <c r="H22" i="1" s="1"/>
  <c r="C123" i="3"/>
  <c r="Y123" i="3" s="1"/>
  <c r="Y45" i="3"/>
  <c r="Q45" i="3"/>
  <c r="Q70" i="3" s="1"/>
  <c r="Y26" i="3"/>
  <c r="Y87" i="3"/>
  <c r="Q87" i="3"/>
  <c r="Q123" i="3" s="1"/>
  <c r="J133" i="3"/>
  <c r="C86" i="4"/>
  <c r="Q86" i="4" s="1"/>
  <c r="Q89" i="4" s="1"/>
  <c r="E56" i="1" s="1"/>
  <c r="R93" i="6" l="1"/>
  <c r="E58" i="1" s="1"/>
  <c r="R103" i="6"/>
  <c r="I52" i="4"/>
  <c r="I89" i="4" s="1"/>
  <c r="E22" i="1" s="1"/>
  <c r="AA129" i="3"/>
  <c r="T103" i="6"/>
  <c r="K89" i="4"/>
  <c r="H123" i="3"/>
  <c r="Y70" i="3"/>
  <c r="C133" i="3"/>
  <c r="Y133" i="3" s="1"/>
  <c r="G58" i="1"/>
  <c r="H58" i="1" s="1"/>
  <c r="C58" i="1"/>
  <c r="G24" i="1"/>
  <c r="H24" i="1" s="1"/>
  <c r="C129" i="3"/>
  <c r="K103" i="6"/>
  <c r="Z129" i="3"/>
  <c r="F53" i="1" s="1"/>
  <c r="G28" i="1"/>
  <c r="H19" i="1"/>
  <c r="C89" i="4"/>
  <c r="B22" i="1" s="1"/>
  <c r="B56" i="1" s="1"/>
  <c r="F28" i="1"/>
  <c r="H133" i="3"/>
  <c r="C28" i="1"/>
  <c r="C62" i="1"/>
  <c r="H86" i="4"/>
  <c r="E19" i="1"/>
  <c r="E28" i="1" s="1"/>
  <c r="H70" i="3"/>
  <c r="H28" i="1" l="1"/>
  <c r="F62" i="1"/>
  <c r="G53" i="1"/>
  <c r="Y129" i="3"/>
  <c r="E53" i="1" s="1"/>
  <c r="E62" i="1" s="1"/>
  <c r="B19" i="1"/>
  <c r="H129" i="3"/>
  <c r="B28" i="1" l="1"/>
  <c r="B53" i="1"/>
  <c r="B62" i="1" s="1"/>
  <c r="H53" i="1"/>
  <c r="G62" i="1"/>
  <c r="H62" i="1" s="1"/>
</calcChain>
</file>

<file path=xl/sharedStrings.xml><?xml version="1.0" encoding="utf-8"?>
<sst xmlns="http://schemas.openxmlformats.org/spreadsheetml/2006/main" count="870" uniqueCount="315">
  <si>
    <t>Central Hudson Gas &amp; Electric Corporation</t>
  </si>
  <si>
    <t>Depreciable</t>
  </si>
  <si>
    <t>Accumulated</t>
  </si>
  <si>
    <t>Difference</t>
  </si>
  <si>
    <t>Original Cost</t>
  </si>
  <si>
    <t>Book</t>
  </si>
  <si>
    <t>Annual</t>
  </si>
  <si>
    <t>Theoretical</t>
  </si>
  <si>
    <t>Book &amp; Theo.</t>
  </si>
  <si>
    <t>Depreciation</t>
  </si>
  <si>
    <t>Accrual</t>
  </si>
  <si>
    <t>Requirement</t>
  </si>
  <si>
    <t>Electric Department</t>
  </si>
  <si>
    <t>Gas Department</t>
  </si>
  <si>
    <t xml:space="preserve">Schedule B - Current and Proposed Depreciation Factors and Rates for the </t>
  </si>
  <si>
    <t xml:space="preserve">   Electric Department</t>
  </si>
  <si>
    <t xml:space="preserve">Schedule C - Current and Proposed Depreciation Factors and Rates for the </t>
  </si>
  <si>
    <t xml:space="preserve">   Gas Department</t>
  </si>
  <si>
    <t xml:space="preserve">Schedule D - Current and Proposed Depreciation Factors and Rates for the </t>
  </si>
  <si>
    <t xml:space="preserve">% Excess </t>
  </si>
  <si>
    <t>Book Over (Under)</t>
  </si>
  <si>
    <t xml:space="preserve">Common </t>
  </si>
  <si>
    <t>Summary of Depreciation Reserve</t>
  </si>
  <si>
    <t>Schedule A</t>
  </si>
  <si>
    <t>Schedule A - Analysis of  Current and Proposed Depreciation Factors, Annual Accruals</t>
  </si>
  <si>
    <t xml:space="preserve">   Common Department  </t>
  </si>
  <si>
    <t>Depreciation Factors and Rates - Electric Department</t>
  </si>
  <si>
    <t xml:space="preserve">           O        B       S        E        R        V        E        D</t>
  </si>
  <si>
    <t>Annual Accrual</t>
  </si>
  <si>
    <t>Curve</t>
  </si>
  <si>
    <t>Net Salv.</t>
  </si>
  <si>
    <t xml:space="preserve">Annual </t>
  </si>
  <si>
    <t>Amount -using</t>
  </si>
  <si>
    <t>Account</t>
  </si>
  <si>
    <t>Account  Description</t>
  </si>
  <si>
    <t>ASL</t>
  </si>
  <si>
    <t>Type</t>
  </si>
  <si>
    <t>%</t>
  </si>
  <si>
    <t xml:space="preserve"> Rate</t>
  </si>
  <si>
    <t>Accrual Rate</t>
  </si>
  <si>
    <t>12/31/98 Balances</t>
  </si>
  <si>
    <t>Rate</t>
  </si>
  <si>
    <t>HYDRO PRODUCTION</t>
  </si>
  <si>
    <t>331-00-1</t>
  </si>
  <si>
    <t>STRUCTURES &amp; IMPROVEMENTS</t>
  </si>
  <si>
    <t>R3</t>
  </si>
  <si>
    <t>332-00-1</t>
  </si>
  <si>
    <t>RESERVOIRS, DAMS</t>
  </si>
  <si>
    <t>R4</t>
  </si>
  <si>
    <t>333-00-1</t>
  </si>
  <si>
    <t>TURBINES &amp; GENERATORS</t>
  </si>
  <si>
    <t>334-10-1</t>
  </si>
  <si>
    <t>ACCESSORY ELEC. EQUIP.</t>
  </si>
  <si>
    <t>R1.5</t>
  </si>
  <si>
    <t>335-00-1</t>
  </si>
  <si>
    <t>MISC. POWER PLANT EQUIP.</t>
  </si>
  <si>
    <t>S2.5</t>
  </si>
  <si>
    <t>HYDRO TOTAL</t>
  </si>
  <si>
    <t>OTHER PRODUCTION</t>
  </si>
  <si>
    <t>341-00-1</t>
  </si>
  <si>
    <t>STRUCTURES AND IMPROVEMENTS</t>
  </si>
  <si>
    <t>342-00-1</t>
  </si>
  <si>
    <t>FUEL HOLDERS, PRODUCERS &amp; ACCESSORIES</t>
  </si>
  <si>
    <t>S3</t>
  </si>
  <si>
    <t>343-00-1</t>
  </si>
  <si>
    <t>PRIME MOVERS</t>
  </si>
  <si>
    <t>344-00-1</t>
  </si>
  <si>
    <t>GENERATORS</t>
  </si>
  <si>
    <t>345-00-1</t>
  </si>
  <si>
    <t>ACCESSORY ELECTRIC EQUIPMENT</t>
  </si>
  <si>
    <t>R2.5</t>
  </si>
  <si>
    <t>346-00-1</t>
  </si>
  <si>
    <t>MISCELLANEOUS POWER PLANT EQUIPMENT</t>
  </si>
  <si>
    <t>OTHER PRODUCTION TOTAL</t>
  </si>
  <si>
    <t>TRANSMISSION</t>
  </si>
  <si>
    <t>LAND &amp; LAND RIGHTS</t>
  </si>
  <si>
    <t>+10</t>
  </si>
  <si>
    <t xml:space="preserve">+10 </t>
  </si>
  <si>
    <t>352-00-1</t>
  </si>
  <si>
    <t>STATION EQUIPMENT</t>
  </si>
  <si>
    <t>R1</t>
  </si>
  <si>
    <t>R0.5</t>
  </si>
  <si>
    <t>353-12-1</t>
  </si>
  <si>
    <t>SUPERVISORY EQUIPMENT- IN USE</t>
  </si>
  <si>
    <t>S1</t>
  </si>
  <si>
    <t>L1.5</t>
  </si>
  <si>
    <t>354-00-1</t>
  </si>
  <si>
    <t>TOWERS &amp; FIXTURES</t>
  </si>
  <si>
    <t>POLES &amp; FIXTURES</t>
  </si>
  <si>
    <t>S0.5</t>
  </si>
  <si>
    <t>OVERHEAD COND. &amp; DEVICES</t>
  </si>
  <si>
    <t>R2</t>
  </si>
  <si>
    <t>OVERHEAD LINES, CLEARING</t>
  </si>
  <si>
    <t>357-00-1</t>
  </si>
  <si>
    <t>UNDERGROUND CONDUIT</t>
  </si>
  <si>
    <t>358-00-1</t>
  </si>
  <si>
    <t>UNERGROUND COND. &amp; DEVICES</t>
  </si>
  <si>
    <t>TRANSMISSION TOTAL</t>
  </si>
  <si>
    <t>DISTRIBUTION</t>
  </si>
  <si>
    <t>361-00-1</t>
  </si>
  <si>
    <t>362-12-1</t>
  </si>
  <si>
    <t>SUPERVISORY EQUIPMENT</t>
  </si>
  <si>
    <t>364-00-1</t>
  </si>
  <si>
    <t>O1</t>
  </si>
  <si>
    <t>OVHD. CONDUCTORS &amp; DEVICES</t>
  </si>
  <si>
    <t>UNDERGROUND COND. &amp; DEVICES</t>
  </si>
  <si>
    <t>TRANSFORMERS</t>
  </si>
  <si>
    <t>369-10-1</t>
  </si>
  <si>
    <t>OVERHEAD SERVICES</t>
  </si>
  <si>
    <t>UNDERGROUND SERVICES</t>
  </si>
  <si>
    <t>METERS &amp; INSTALLATION</t>
  </si>
  <si>
    <t>INSTALLATION ON CUST. PREMISES</t>
  </si>
  <si>
    <t>LEASED PROP. ON CUST. PREMISES</t>
  </si>
  <si>
    <t>STREET LIGHTS &amp; CONDUCTORS</t>
  </si>
  <si>
    <t>L0</t>
  </si>
  <si>
    <t>DISTRIBUTION TOTAL</t>
  </si>
  <si>
    <t>GENERAL PLANT</t>
  </si>
  <si>
    <t>ELECTRIC TOTAL</t>
  </si>
  <si>
    <t>Schedule C</t>
  </si>
  <si>
    <t>Depreciation Factors and Rates - Gas Department</t>
  </si>
  <si>
    <t>Book &amp; Theo</t>
  </si>
  <si>
    <t>+0</t>
  </si>
  <si>
    <t>366-20-2</t>
  </si>
  <si>
    <t>S2</t>
  </si>
  <si>
    <t>367-00-2</t>
  </si>
  <si>
    <t>MAINS</t>
  </si>
  <si>
    <t>369-11-2</t>
  </si>
  <si>
    <t>369-12-2</t>
  </si>
  <si>
    <t>375-00-2</t>
  </si>
  <si>
    <t>376-00-2</t>
  </si>
  <si>
    <t>378-11-2</t>
  </si>
  <si>
    <t>378-12-2</t>
  </si>
  <si>
    <t>380-00-2</t>
  </si>
  <si>
    <t>SERVICES</t>
  </si>
  <si>
    <t>381-00-2</t>
  </si>
  <si>
    <t>METERS</t>
  </si>
  <si>
    <t>382-00-2</t>
  </si>
  <si>
    <t>METER INSTALLATIONS</t>
  </si>
  <si>
    <t>385-00-2</t>
  </si>
  <si>
    <t>INDUSTRIAL-STATION EQUIPMENT</t>
  </si>
  <si>
    <t>385-10-2</t>
  </si>
  <si>
    <t>GAS TOTAL</t>
  </si>
  <si>
    <t>IROQUOIS TRANSMISSION</t>
  </si>
  <si>
    <t>IROQUOIS TRANSMISSION TOTAL</t>
  </si>
  <si>
    <t>Schedule  D</t>
  </si>
  <si>
    <t>Depreciation Factors and Rates - Common Department</t>
  </si>
  <si>
    <t>390-00-4</t>
  </si>
  <si>
    <t>392-10-4</t>
  </si>
  <si>
    <t>Transportation Equip- Electric</t>
  </si>
  <si>
    <t>L3</t>
  </si>
  <si>
    <t>L2.5</t>
  </si>
  <si>
    <t>392-20-4</t>
  </si>
  <si>
    <t>Transportation Equip- Gas</t>
  </si>
  <si>
    <t>392-40-4</t>
  </si>
  <si>
    <t>396-10-4</t>
  </si>
  <si>
    <t>Power Operated Equip- Electric</t>
  </si>
  <si>
    <t>+15</t>
  </si>
  <si>
    <t>396-20-4</t>
  </si>
  <si>
    <t>396-40-4</t>
  </si>
  <si>
    <t>Power Operated Equip- Common</t>
  </si>
  <si>
    <t>Common - Other than General Equip</t>
  </si>
  <si>
    <t>391-11-4</t>
  </si>
  <si>
    <t>EDP Equip- System and Main Frame</t>
  </si>
  <si>
    <t>SQ</t>
  </si>
  <si>
    <t>391-12-4</t>
  </si>
  <si>
    <t>EDP- Systems Operations - SCADA</t>
  </si>
  <si>
    <t>391-21-4</t>
  </si>
  <si>
    <t xml:space="preserve"> Data Handling Equipment</t>
  </si>
  <si>
    <t>391-22-4</t>
  </si>
  <si>
    <t>Office Furniture</t>
  </si>
  <si>
    <t>393-00-4</t>
  </si>
  <si>
    <t>Stores Equipment</t>
  </si>
  <si>
    <t>393-20-4</t>
  </si>
  <si>
    <t>Stores Equipment- Forklifts</t>
  </si>
  <si>
    <t>394-10-4</t>
  </si>
  <si>
    <t>Garage &amp; Repair Equipment</t>
  </si>
  <si>
    <t>394-20-4</t>
  </si>
  <si>
    <t>Shop Equipment</t>
  </si>
  <si>
    <t>394-30-4</t>
  </si>
  <si>
    <t>Tools &amp; Work Equipment</t>
  </si>
  <si>
    <t>395-10-4</t>
  </si>
  <si>
    <t>Laboratory Equipment</t>
  </si>
  <si>
    <t>395-20-4</t>
  </si>
  <si>
    <t>Laboratory Equipment- R&amp;D</t>
  </si>
  <si>
    <t>397-10-4</t>
  </si>
  <si>
    <t>Communication Equipment - Radio</t>
  </si>
  <si>
    <t>397-20-4</t>
  </si>
  <si>
    <t>Communication Equipment - Telephone</t>
  </si>
  <si>
    <t>398-00-4</t>
  </si>
  <si>
    <t>Miscellaneous General Equipment</t>
  </si>
  <si>
    <t xml:space="preserve"> Common  - Gen Equip Vintage Accounts</t>
  </si>
  <si>
    <t xml:space="preserve">Total Common </t>
  </si>
  <si>
    <t>R.05</t>
  </si>
  <si>
    <t>O2</t>
  </si>
  <si>
    <t>373-10,21,22,30,40,51,52,61,62&amp;70-1</t>
  </si>
  <si>
    <t>390-00,05,07&amp;15-1</t>
  </si>
  <si>
    <t>General Structures &amp; Imp 39YR</t>
  </si>
  <si>
    <t>Transportation Equip- Com</t>
  </si>
  <si>
    <t>Power Opeerated Equipment - Gas</t>
  </si>
  <si>
    <t>Transportation Total</t>
  </si>
  <si>
    <t>POE Total</t>
  </si>
  <si>
    <t>372-10-00-1</t>
  </si>
  <si>
    <t>365-50-2 ASL</t>
  </si>
  <si>
    <t>365-50-2 RL</t>
  </si>
  <si>
    <t>366-50-2 ASL</t>
  </si>
  <si>
    <t>367-50-2 ASL</t>
  </si>
  <si>
    <t>369-51-2 ASL</t>
  </si>
  <si>
    <t>369-52-2 ASL</t>
  </si>
  <si>
    <t xml:space="preserve">LAND &amp; LAND RIGHTS  </t>
  </si>
  <si>
    <t xml:space="preserve">MAINS </t>
  </si>
  <si>
    <t xml:space="preserve">STATION EQUIPMENT </t>
  </si>
  <si>
    <t xml:space="preserve">SUPERVISORY EQUIPMENT </t>
  </si>
  <si>
    <t>366-50-2 RL</t>
  </si>
  <si>
    <t>367-50-2 RL</t>
  </si>
  <si>
    <t>369-51-2 RL</t>
  </si>
  <si>
    <t>369-52-2 RL</t>
  </si>
  <si>
    <t>S0</t>
  </si>
  <si>
    <t>R5</t>
  </si>
  <si>
    <t>STATION EQUIP - ELECTRONIC</t>
  </si>
  <si>
    <t>353-30-1</t>
  </si>
  <si>
    <t>355-00, 10 &amp; 15-1</t>
  </si>
  <si>
    <t>362-11-1</t>
  </si>
  <si>
    <t>362-20-1</t>
  </si>
  <si>
    <t>362-30-1</t>
  </si>
  <si>
    <t>STATION EQUIPMENT- IN USE</t>
  </si>
  <si>
    <t>STATION EQUIPMENT- HELD</t>
  </si>
  <si>
    <t>SUPERVISORY EQUIP- ELECTRONICS</t>
  </si>
  <si>
    <t>365-10 &amp; 20-1</t>
  </si>
  <si>
    <t>366-11  &amp; 22-1</t>
  </si>
  <si>
    <t>369-21 &amp; 22-1</t>
  </si>
  <si>
    <t>370-11, 12 &amp; 20-1</t>
  </si>
  <si>
    <t>371-10 &amp; 22-1</t>
  </si>
  <si>
    <t>L2</t>
  </si>
  <si>
    <t>S1.5</t>
  </si>
  <si>
    <t>378-30-2</t>
  </si>
  <si>
    <t>L0.5</t>
  </si>
  <si>
    <t>367-11, 12, 21  &amp; 22-1</t>
  </si>
  <si>
    <t>368-11 thru 15 &amp; 17-1</t>
  </si>
  <si>
    <t>353-11-1</t>
  </si>
  <si>
    <t>353-20-1</t>
  </si>
  <si>
    <t>STATION EQUIPMENT - HELD</t>
  </si>
  <si>
    <t>L1</t>
  </si>
  <si>
    <t>360-11-1</t>
  </si>
  <si>
    <t>360-23-1</t>
  </si>
  <si>
    <t>360-13-1</t>
  </si>
  <si>
    <t>DISTR - LAND RIGHTS - OH</t>
  </si>
  <si>
    <t>DISTR - LAND RIGHTS - SUB</t>
  </si>
  <si>
    <t>DISTR - LAND RIGHTS - UND</t>
  </si>
  <si>
    <t>365-13-2</t>
  </si>
  <si>
    <t>TRANSM-ROW-MAINS</t>
  </si>
  <si>
    <t>TRANSM-LAND RIGHTS-REG</t>
  </si>
  <si>
    <t>365-11-2</t>
  </si>
  <si>
    <t>369-30-2</t>
  </si>
  <si>
    <t>R11</t>
  </si>
  <si>
    <t>Exhibit ___ (ATP-3)</t>
  </si>
  <si>
    <t>303-00</t>
  </si>
  <si>
    <t>INTANGIBLE PLANT</t>
  </si>
  <si>
    <t>303-10</t>
  </si>
  <si>
    <t>303-20</t>
  </si>
  <si>
    <t>Intangible - Software Total</t>
  </si>
  <si>
    <t>Intangible Plant - Software</t>
  </si>
  <si>
    <t>Intangible Plant - Software 10-year</t>
  </si>
  <si>
    <t>Intangible Plant - Software 3-year</t>
  </si>
  <si>
    <t>comparison purposes.  They are not part of the depreciation study.</t>
  </si>
  <si>
    <t xml:space="preserve">Intangible electric assets and common software are included for  </t>
  </si>
  <si>
    <t>Intangible electric assets are included for comparison purposes and are not part of the depreciation study.</t>
  </si>
  <si>
    <t>350-11 &amp; 15-1</t>
  </si>
  <si>
    <t>350-13-1</t>
  </si>
  <si>
    <t>LAND &amp; LAND RIGHTS SUBSTATIONS</t>
  </si>
  <si>
    <t>356-20-1</t>
  </si>
  <si>
    <t>356-25-1</t>
  </si>
  <si>
    <t>OVERHEAD LINES, CLEARING-345KV LINE</t>
  </si>
  <si>
    <t>SUPERVISORY EQUIPMENT *</t>
  </si>
  <si>
    <t>STATION EQUIPMENT *</t>
  </si>
  <si>
    <t>MAINS *</t>
  </si>
  <si>
    <t>STRUCTURES &amp; IMPROVEMENTS *</t>
  </si>
  <si>
    <t>Common software are included for comparison purposes and are not part of the depreciation study.</t>
  </si>
  <si>
    <t xml:space="preserve"> </t>
  </si>
  <si>
    <t xml:space="preserve"> *Iroquois orig cost fully amortized</t>
  </si>
  <si>
    <t xml:space="preserve">LAND &amp; LAND RIGHTS </t>
  </si>
  <si>
    <t>ELECTRIC TOTAL before intangible</t>
  </si>
  <si>
    <t>374-11</t>
  </si>
  <si>
    <t>374-13</t>
  </si>
  <si>
    <t xml:space="preserve">LAND RIGHTS - REGULATING      </t>
  </si>
  <si>
    <t>Total Common  before intangibles</t>
  </si>
  <si>
    <t>GAS SUBTOTAL</t>
  </si>
  <si>
    <t xml:space="preserve">Intangible - Electric </t>
  </si>
  <si>
    <t>Intangible Software</t>
  </si>
  <si>
    <t>General Equipment</t>
  </si>
  <si>
    <t>fully accrued</t>
  </si>
  <si>
    <t>CENTRAL HUDSON GAS &amp; ELECTRIC CORPORATION</t>
  </si>
  <si>
    <t xml:space="preserve">   and Theoretical Provision Requirement</t>
  </si>
  <si>
    <t>PROPOSED DEPRECIATION FACTORS AND RATE CHANGES</t>
  </si>
  <si>
    <t>CURRENT</t>
  </si>
  <si>
    <t xml:space="preserve"> @  12/31/19</t>
  </si>
  <si>
    <t>356-15-1</t>
  </si>
  <si>
    <t>356-10-1</t>
  </si>
  <si>
    <t>OVERHEAD COND. &amp; DEVICES 345KV</t>
  </si>
  <si>
    <t xml:space="preserve">CASE 20-E-       &amp; CASE 20-G-        </t>
  </si>
  <si>
    <t>Case Nos. 20-E-____ &amp; 20-G-____</t>
  </si>
  <si>
    <t>Exhibit__ (ATP-3)</t>
  </si>
  <si>
    <t>Case 20-E-____ &amp; 20-G-____</t>
  </si>
  <si>
    <t>EXHIBIT__ (ATP-3)</t>
  </si>
  <si>
    <t>Scheudle B</t>
  </si>
  <si>
    <t>Exhibit  ___  (ATP-3)</t>
  </si>
  <si>
    <t>Schedule  B</t>
  </si>
  <si>
    <t>Exhibit  _____ (ATP-3)</t>
  </si>
  <si>
    <t>2017 STUDY RATES USED IN RATE FILING</t>
  </si>
  <si>
    <t>Page 1 of 2</t>
  </si>
  <si>
    <t>Page 2 of 2</t>
  </si>
  <si>
    <t>Page 1 of 4</t>
  </si>
  <si>
    <t>Page 2 of 4</t>
  </si>
  <si>
    <t>Page 3 of 4</t>
  </si>
  <si>
    <t>page 4 of 4</t>
  </si>
  <si>
    <t>Page 4 of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</si>
</sst>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%"/>
    <numFmt numFmtId="165" formatCode="0.0000_)"/>
    <numFmt numFmtId="166" formatCode="0.0_)"/>
    <numFmt numFmtId="167" formatCode="0_)"/>
    <numFmt numFmtId="168" formatCode="0.000000"/>
    <numFmt numFmtId="169" formatCode="0.000000_)"/>
  </numFmts>
  <fonts count="9" x14ac:knownFonts="1">
    <font>
      <sz val="12"/>
      <name val="Arial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65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textRotation="45"/>
    </xf>
    <xf numFmtId="37" fontId="3" fillId="0" borderId="0" xfId="0" applyNumberFormat="1" applyFont="1"/>
    <xf numFmtId="0" fontId="3" fillId="0" borderId="0" xfId="0" applyFont="1"/>
    <xf numFmtId="0" fontId="1" fillId="2" borderId="1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/>
    <xf numFmtId="168" fontId="4" fillId="0" borderId="0" xfId="0" applyNumberFormat="1" applyFont="1" applyAlignment="1">
      <alignment horizontal="center"/>
    </xf>
    <xf numFmtId="169" fontId="2" fillId="0" borderId="0" xfId="0" applyNumberFormat="1" applyFont="1"/>
    <xf numFmtId="169" fontId="2" fillId="0" borderId="2" xfId="0" applyNumberFormat="1" applyFont="1" applyBorder="1"/>
    <xf numFmtId="169" fontId="2" fillId="0" borderId="3" xfId="0" applyNumberFormat="1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37" fontId="2" fillId="0" borderId="0" xfId="0" applyNumberFormat="1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7" fontId="2" fillId="0" borderId="4" xfId="0" applyNumberFormat="1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169" fontId="2" fillId="0" borderId="4" xfId="0" applyNumberFormat="1" applyFont="1" applyBorder="1"/>
    <xf numFmtId="37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right"/>
    </xf>
    <xf numFmtId="0" fontId="2" fillId="0" borderId="4" xfId="0" applyFont="1" applyBorder="1" applyAlignment="1">
      <alignment horizontal="left" indent="1"/>
    </xf>
    <xf numFmtId="37" fontId="2" fillId="0" borderId="2" xfId="0" applyNumberFormat="1" applyFont="1" applyBorder="1"/>
    <xf numFmtId="167" fontId="2" fillId="0" borderId="0" xfId="0" applyNumberFormat="1" applyFont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7" fontId="2" fillId="0" borderId="4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37" fontId="2" fillId="0" borderId="3" xfId="0" applyNumberFormat="1" applyFont="1" applyBorder="1"/>
    <xf numFmtId="168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68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8" fontId="2" fillId="0" borderId="3" xfId="0" applyNumberFormat="1" applyFont="1" applyBorder="1" applyAlignment="1">
      <alignment horizontal="center"/>
    </xf>
    <xf numFmtId="164" fontId="2" fillId="0" borderId="0" xfId="0" applyNumberFormat="1" applyFont="1"/>
    <xf numFmtId="9" fontId="2" fillId="0" borderId="0" xfId="0" applyNumberFormat="1" applyFont="1"/>
    <xf numFmtId="0" fontId="2" fillId="0" borderId="5" xfId="0" applyFont="1" applyBorder="1"/>
    <xf numFmtId="37" fontId="2" fillId="0" borderId="5" xfId="0" applyNumberFormat="1" applyFont="1" applyBorder="1"/>
    <xf numFmtId="0" fontId="5" fillId="0" borderId="0" xfId="0" quotePrefix="1" applyFont="1" applyAlignment="1">
      <alignment horizontal="center"/>
    </xf>
    <xf numFmtId="0" fontId="5" fillId="0" borderId="0" xfId="0" applyFont="1"/>
    <xf numFmtId="165" fontId="2" fillId="0" borderId="2" xfId="0" applyNumberFormat="1" applyFont="1" applyBorder="1"/>
    <xf numFmtId="37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 textRotation="180"/>
    </xf>
    <xf numFmtId="37" fontId="2" fillId="0" borderId="0" xfId="0" applyNumberFormat="1" applyFont="1" applyAlignment="1">
      <alignment horizontal="center" textRotation="180"/>
    </xf>
    <xf numFmtId="0" fontId="3" fillId="0" borderId="0" xfId="0" applyFont="1" applyAlignment="1">
      <alignment horizontal="centerContinuous"/>
    </xf>
    <xf numFmtId="168" fontId="3" fillId="0" borderId="0" xfId="0" applyNumberFormat="1" applyFont="1" applyAlignment="1">
      <alignment horizontal="centerContinuous"/>
    </xf>
    <xf numFmtId="37" fontId="2" fillId="3" borderId="0" xfId="0" applyNumberFormat="1" applyFont="1" applyFill="1"/>
    <xf numFmtId="169" fontId="2" fillId="3" borderId="0" xfId="0" applyNumberFormat="1" applyFont="1" applyFill="1"/>
    <xf numFmtId="165" fontId="2" fillId="3" borderId="0" xfId="0" applyNumberFormat="1" applyFont="1" applyFill="1"/>
    <xf numFmtId="0" fontId="5" fillId="0" borderId="0" xfId="0" quotePrefix="1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H27"/>
  <sheetViews>
    <sheetView tabSelected="1" defaultGridColor="0" view="pageBreakPreview" colorId="22" zoomScaleNormal="100" zoomScaleSheetLayoutView="100" workbookViewId="0"/>
  </sheetViews>
  <sheetFormatPr defaultColWidth="9.81640625" defaultRowHeight="15" x14ac:dyDescent="0.25"/>
  <cols>
    <col min="1" max="7" width="9.81640625" style="8"/>
    <col min="8" max="8" width="6.453125" style="8" customWidth="1"/>
    <col min="9" max="16384" width="9.81640625" style="8"/>
  </cols>
  <sheetData>
    <row r="1" spans="1:8" x14ac:dyDescent="0.25">
      <c r="G1" s="8" t="s">
        <v>254</v>
      </c>
    </row>
    <row r="9" spans="1:8" ht="15.6" x14ac:dyDescent="0.3">
      <c r="A9" s="60" t="s">
        <v>290</v>
      </c>
      <c r="B9" s="60"/>
      <c r="C9" s="60"/>
      <c r="D9" s="60"/>
      <c r="E9" s="60"/>
      <c r="F9" s="60"/>
      <c r="G9" s="60"/>
      <c r="H9" s="60"/>
    </row>
    <row r="10" spans="1:8" ht="15.6" x14ac:dyDescent="0.3">
      <c r="A10" s="60" t="s">
        <v>301</v>
      </c>
      <c r="B10" s="60"/>
      <c r="C10" s="60"/>
      <c r="D10" s="60"/>
      <c r="E10" s="60"/>
      <c r="F10" s="60"/>
      <c r="G10" s="60"/>
      <c r="H10" s="60"/>
    </row>
    <row r="11" spans="1:8" x14ac:dyDescent="0.25">
      <c r="A11" s="16"/>
      <c r="C11" s="16"/>
      <c r="D11" s="16"/>
      <c r="E11" s="16"/>
      <c r="F11" s="16"/>
      <c r="G11" s="16"/>
      <c r="H11" s="16"/>
    </row>
    <row r="12" spans="1:8" ht="15.6" x14ac:dyDescent="0.3">
      <c r="A12" s="60" t="s">
        <v>292</v>
      </c>
      <c r="B12" s="60"/>
      <c r="C12" s="60"/>
      <c r="D12" s="60"/>
      <c r="E12" s="60"/>
      <c r="F12" s="60"/>
      <c r="G12" s="60"/>
      <c r="H12" s="60"/>
    </row>
    <row r="13" spans="1:8" x14ac:dyDescent="0.25">
      <c r="A13" s="16"/>
      <c r="B13" s="16"/>
      <c r="C13" s="16"/>
      <c r="D13" s="16"/>
      <c r="E13" s="16"/>
      <c r="F13" s="16"/>
      <c r="G13" s="16"/>
      <c r="H13" s="16"/>
    </row>
    <row r="14" spans="1:8" x14ac:dyDescent="0.25">
      <c r="A14" s="16"/>
      <c r="B14" s="16"/>
      <c r="C14" s="16"/>
      <c r="D14" s="16"/>
      <c r="E14" s="16"/>
      <c r="F14" s="16"/>
      <c r="G14" s="16"/>
      <c r="H14" s="16"/>
    </row>
    <row r="17" spans="1:2" x14ac:dyDescent="0.25">
      <c r="A17" s="8" t="s">
        <v>24</v>
      </c>
    </row>
    <row r="18" spans="1:2" x14ac:dyDescent="0.25">
      <c r="B18" s="8" t="s">
        <v>291</v>
      </c>
    </row>
    <row r="20" spans="1:2" x14ac:dyDescent="0.25">
      <c r="A20" s="8" t="s">
        <v>14</v>
      </c>
    </row>
    <row r="21" spans="1:2" x14ac:dyDescent="0.25">
      <c r="B21" s="8" t="s">
        <v>15</v>
      </c>
    </row>
    <row r="23" spans="1:2" x14ac:dyDescent="0.25">
      <c r="A23" s="8" t="s">
        <v>16</v>
      </c>
    </row>
    <row r="24" spans="1:2" x14ac:dyDescent="0.25">
      <c r="B24" s="8" t="s">
        <v>17</v>
      </c>
    </row>
    <row r="26" spans="1:2" x14ac:dyDescent="0.25">
      <c r="A26" s="8" t="s">
        <v>18</v>
      </c>
    </row>
    <row r="27" spans="1:2" x14ac:dyDescent="0.25">
      <c r="B27" s="8" t="s">
        <v>25</v>
      </c>
    </row>
  </sheetData>
  <mergeCells count="3">
    <mergeCell ref="A9:H9"/>
    <mergeCell ref="A10:H10"/>
    <mergeCell ref="A12:H12"/>
  </mergeCells>
  <phoneticPr fontId="0" type="noConversion"/>
  <printOptions horizontalCentered="1"/>
  <pageMargins left="0.7" right="0.7" top="0.75" bottom="0.75" header="0.3" footer="0.3"/>
  <pageSetup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AC251"/>
  <sheetViews>
    <sheetView defaultGridColor="0" view="pageBreakPreview" colorId="22" zoomScale="90" zoomScaleNormal="100" zoomScaleSheetLayoutView="90" workbookViewId="0"/>
  </sheetViews>
  <sheetFormatPr defaultColWidth="12.81640625" defaultRowHeight="15" x14ac:dyDescent="0.25"/>
  <cols>
    <col min="1" max="1" width="16" style="8" customWidth="1"/>
    <col min="2" max="2" width="14.81640625" style="8" customWidth="1"/>
    <col min="3" max="3" width="12.81640625" style="8"/>
    <col min="4" max="4" width="6.453125" style="8" customWidth="1"/>
    <col min="5" max="5" width="11.81640625" style="8" customWidth="1"/>
    <col min="6" max="6" width="12.81640625" style="8"/>
    <col min="7" max="7" width="14.453125" style="8" customWidth="1"/>
    <col min="8" max="8" width="15.6328125" style="8" bestFit="1" customWidth="1"/>
    <col min="9" max="9" width="16.453125" style="8" bestFit="1" customWidth="1"/>
    <col min="10" max="10" width="11.08984375" style="8" bestFit="1" customWidth="1"/>
    <col min="11" max="11" width="11" style="8" bestFit="1" customWidth="1"/>
    <col min="12" max="12" width="7.81640625" style="8" customWidth="1"/>
    <col min="13" max="13" width="14.6328125" style="8" customWidth="1"/>
    <col min="14" max="14" width="14.1796875" style="8" customWidth="1"/>
    <col min="15" max="15" width="13" style="8" customWidth="1"/>
    <col min="16" max="16" width="15.36328125" style="8" customWidth="1"/>
    <col min="17" max="16384" width="12.81640625" style="8"/>
  </cols>
  <sheetData>
    <row r="1" spans="1:8" x14ac:dyDescent="0.25">
      <c r="H1" s="19" t="s">
        <v>300</v>
      </c>
    </row>
    <row r="2" spans="1:8" x14ac:dyDescent="0.25">
      <c r="H2" s="19" t="s">
        <v>23</v>
      </c>
    </row>
    <row r="3" spans="1:8" x14ac:dyDescent="0.25">
      <c r="H3" s="19" t="s">
        <v>308</v>
      </c>
    </row>
    <row r="4" spans="1:8" ht="15.6" x14ac:dyDescent="0.3">
      <c r="A4" s="60" t="s">
        <v>290</v>
      </c>
      <c r="B4" s="60"/>
      <c r="C4" s="60"/>
      <c r="D4" s="60"/>
      <c r="E4" s="60"/>
      <c r="F4" s="60"/>
      <c r="G4" s="60"/>
      <c r="H4" s="60"/>
    </row>
    <row r="5" spans="1:8" ht="15.6" x14ac:dyDescent="0.3">
      <c r="A5" s="60" t="s">
        <v>299</v>
      </c>
      <c r="B5" s="60"/>
      <c r="C5" s="60"/>
      <c r="D5" s="60"/>
      <c r="E5" s="60"/>
      <c r="F5" s="60"/>
      <c r="G5" s="60"/>
      <c r="H5" s="60"/>
    </row>
    <row r="6" spans="1:8" x14ac:dyDescent="0.25">
      <c r="A6" s="16"/>
      <c r="C6" s="16"/>
      <c r="D6" s="16"/>
      <c r="E6" s="16"/>
      <c r="F6" s="16"/>
      <c r="G6" s="16"/>
      <c r="H6" s="16"/>
    </row>
    <row r="7" spans="1:8" ht="15.6" x14ac:dyDescent="0.3">
      <c r="A7" s="60" t="s">
        <v>292</v>
      </c>
      <c r="B7" s="60"/>
      <c r="C7" s="60"/>
      <c r="D7" s="60"/>
      <c r="E7" s="60"/>
      <c r="F7" s="60"/>
      <c r="G7" s="60"/>
      <c r="H7" s="60"/>
    </row>
    <row r="8" spans="1:8" ht="15.6" x14ac:dyDescent="0.3">
      <c r="A8" s="46"/>
      <c r="B8" s="46"/>
      <c r="C8" s="46"/>
      <c r="D8" s="46"/>
      <c r="E8" s="46"/>
      <c r="F8" s="46"/>
      <c r="G8" s="46"/>
      <c r="H8" s="46"/>
    </row>
    <row r="9" spans="1:8" ht="15.6" x14ac:dyDescent="0.3">
      <c r="A9" s="62" t="s">
        <v>22</v>
      </c>
      <c r="B9" s="62"/>
      <c r="C9" s="62"/>
      <c r="D9" s="62"/>
      <c r="E9" s="62"/>
      <c r="F9" s="62"/>
      <c r="G9" s="62"/>
      <c r="H9" s="62"/>
    </row>
    <row r="12" spans="1:8" ht="15.6" x14ac:dyDescent="0.3">
      <c r="E12" s="61" t="s">
        <v>293</v>
      </c>
      <c r="F12" s="61"/>
      <c r="G12" s="61"/>
      <c r="H12" s="61"/>
    </row>
    <row r="14" spans="1:8" x14ac:dyDescent="0.25">
      <c r="C14" s="18">
        <v>43830</v>
      </c>
      <c r="D14" s="18"/>
    </row>
    <row r="15" spans="1:8" x14ac:dyDescent="0.25">
      <c r="B15" s="9" t="s">
        <v>1</v>
      </c>
      <c r="C15" s="9" t="s">
        <v>2</v>
      </c>
      <c r="D15" s="9"/>
      <c r="G15" s="9" t="s">
        <v>3</v>
      </c>
      <c r="H15" s="9" t="s">
        <v>19</v>
      </c>
    </row>
    <row r="16" spans="1:8" x14ac:dyDescent="0.25">
      <c r="B16" s="9" t="s">
        <v>4</v>
      </c>
      <c r="C16" s="9" t="s">
        <v>5</v>
      </c>
      <c r="D16" s="9"/>
      <c r="E16" s="9" t="s">
        <v>6</v>
      </c>
      <c r="F16" s="9" t="s">
        <v>7</v>
      </c>
      <c r="G16" s="9" t="s">
        <v>8</v>
      </c>
      <c r="H16" s="9" t="s">
        <v>20</v>
      </c>
    </row>
    <row r="17" spans="1:29" x14ac:dyDescent="0.25">
      <c r="B17" s="6" t="s">
        <v>294</v>
      </c>
      <c r="C17" s="6" t="s">
        <v>9</v>
      </c>
      <c r="D17" s="6"/>
      <c r="E17" s="6" t="s">
        <v>10</v>
      </c>
      <c r="F17" s="6" t="s">
        <v>11</v>
      </c>
      <c r="G17" s="6" t="s">
        <v>11</v>
      </c>
      <c r="H17" s="6" t="s">
        <v>7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9" spans="1:29" x14ac:dyDescent="0.25">
      <c r="A19" s="8" t="s">
        <v>12</v>
      </c>
      <c r="B19" s="17">
        <f>+'Schedule B'!C129</f>
        <v>1726487095.8200002</v>
      </c>
      <c r="C19" s="17">
        <f>+'Schedule B'!D129</f>
        <v>364192229</v>
      </c>
      <c r="D19" s="17"/>
      <c r="E19" s="17">
        <f>+'Schedule B'!I129</f>
        <v>38863637</v>
      </c>
      <c r="F19" s="17">
        <f>+'Schedule B'!J129</f>
        <v>370559526.61999995</v>
      </c>
      <c r="G19" s="17">
        <f>C19-F19</f>
        <v>-6367297.6199999452</v>
      </c>
      <c r="H19" s="42">
        <f>+G19/F19</f>
        <v>-1.7182927876873772E-2</v>
      </c>
    </row>
    <row r="20" spans="1:29" x14ac:dyDescent="0.25">
      <c r="A20" s="8" t="s">
        <v>286</v>
      </c>
      <c r="B20" s="17">
        <f>+'Schedule B'!C131</f>
        <v>2416109</v>
      </c>
      <c r="C20" s="17">
        <f>+'Schedule B'!D131</f>
        <v>327916.01</v>
      </c>
      <c r="D20" s="17"/>
      <c r="E20" s="17">
        <f>+'Schedule B'!I131</f>
        <v>69031.319999999992</v>
      </c>
      <c r="F20" s="17">
        <f>+'Schedule B'!J131</f>
        <v>327916</v>
      </c>
      <c r="G20" s="17">
        <f>C20-F20</f>
        <v>1.0000000009313226E-2</v>
      </c>
      <c r="H20" s="43">
        <f>+G20/F20</f>
        <v>3.0495614759002997E-8</v>
      </c>
    </row>
    <row r="21" spans="1:29" x14ac:dyDescent="0.25">
      <c r="B21" s="17"/>
      <c r="C21" s="17"/>
      <c r="D21" s="17"/>
      <c r="E21" s="17"/>
      <c r="F21" s="17"/>
      <c r="G21" s="17"/>
      <c r="H21" s="17"/>
    </row>
    <row r="22" spans="1:29" x14ac:dyDescent="0.25">
      <c r="A22" s="8" t="s">
        <v>13</v>
      </c>
      <c r="B22" s="17">
        <f>+'Schedule C'!C89</f>
        <v>614658547.90999997</v>
      </c>
      <c r="C22" s="17">
        <f>+'Schedule C'!D89</f>
        <v>132689593.5</v>
      </c>
      <c r="D22" s="17"/>
      <c r="E22" s="17">
        <f>+'Schedule C'!I89</f>
        <v>11602534</v>
      </c>
      <c r="F22" s="17">
        <f>+'Schedule C'!J89</f>
        <v>116983457.88999999</v>
      </c>
      <c r="G22" s="17">
        <f>C22-F22</f>
        <v>15706135.610000014</v>
      </c>
      <c r="H22" s="42">
        <f>+G22/F22</f>
        <v>0.13425945764715347</v>
      </c>
    </row>
    <row r="23" spans="1:29" x14ac:dyDescent="0.25">
      <c r="B23" s="17"/>
      <c r="C23" s="17"/>
      <c r="D23" s="17"/>
      <c r="E23" s="17"/>
      <c r="F23" s="17"/>
      <c r="G23" s="17"/>
      <c r="H23" s="17"/>
    </row>
    <row r="24" spans="1:29" x14ac:dyDescent="0.25">
      <c r="A24" s="8" t="s">
        <v>21</v>
      </c>
      <c r="B24" s="17">
        <f>'Schedule D'!C93</f>
        <v>227057043.96000001</v>
      </c>
      <c r="C24" s="17">
        <f>'Schedule D'!D93</f>
        <v>80241847</v>
      </c>
      <c r="D24" s="17"/>
      <c r="E24" s="17">
        <f>'Schedule D'!I93</f>
        <v>11611750</v>
      </c>
      <c r="F24" s="17">
        <f>'Schedule D'!J93</f>
        <v>71842206.420000002</v>
      </c>
      <c r="G24" s="17">
        <f>C24-F24</f>
        <v>8399640.5799999982</v>
      </c>
      <c r="H24" s="42">
        <f>+G24/F24</f>
        <v>0.11691790938177032</v>
      </c>
    </row>
    <row r="25" spans="1:29" x14ac:dyDescent="0.25">
      <c r="A25" s="8" t="s">
        <v>287</v>
      </c>
      <c r="B25" s="17">
        <f>'Schedule D'!C101</f>
        <v>41594920</v>
      </c>
      <c r="C25" s="17">
        <f>'Schedule D'!D101</f>
        <v>21067732.199999999</v>
      </c>
      <c r="D25" s="17"/>
      <c r="E25" s="17">
        <f>'Schedule D'!I101</f>
        <v>5000786.12</v>
      </c>
      <c r="F25" s="17">
        <f>'Schedule D'!J101</f>
        <v>21067732</v>
      </c>
      <c r="G25" s="17">
        <f>C25-F25</f>
        <v>0.19999999925494194</v>
      </c>
      <c r="H25" s="43">
        <f>+G25/F25</f>
        <v>9.4931907836563494E-9</v>
      </c>
    </row>
    <row r="26" spans="1:29" ht="15.6" thickBot="1" x14ac:dyDescent="0.3">
      <c r="B26" s="17"/>
      <c r="C26" s="17"/>
      <c r="D26" s="17"/>
      <c r="E26" s="44"/>
      <c r="F26" s="45"/>
      <c r="G26" s="17"/>
      <c r="H26" s="17"/>
    </row>
    <row r="27" spans="1:29" ht="15.6" thickTop="1" x14ac:dyDescent="0.25">
      <c r="B27" s="36"/>
      <c r="C27" s="36"/>
      <c r="D27" s="17"/>
      <c r="F27" s="17"/>
      <c r="G27" s="36"/>
      <c r="H27" s="36"/>
    </row>
    <row r="28" spans="1:29" x14ac:dyDescent="0.25">
      <c r="B28" s="17">
        <f>SUM(B19:B26)</f>
        <v>2612213716.6900001</v>
      </c>
      <c r="C28" s="17">
        <f>SUM(C19:C26)</f>
        <v>598519317.71000004</v>
      </c>
      <c r="D28" s="17"/>
      <c r="E28" s="17">
        <f>SUM(E19:E26)</f>
        <v>67147738.439999998</v>
      </c>
      <c r="F28" s="17">
        <f>SUM(F19:F26)</f>
        <v>580780838.92999995</v>
      </c>
      <c r="G28" s="17">
        <f>SUM(G19:G26)</f>
        <v>17738478.780000065</v>
      </c>
      <c r="H28" s="42">
        <f>+G28/F28</f>
        <v>3.0542465575621441E-2</v>
      </c>
    </row>
    <row r="29" spans="1:29" x14ac:dyDescent="0.25">
      <c r="B29" s="17"/>
      <c r="C29" s="17"/>
      <c r="D29" s="17"/>
      <c r="E29" s="17"/>
      <c r="F29" s="17"/>
      <c r="G29" s="17"/>
      <c r="H29" s="17"/>
    </row>
    <row r="30" spans="1:29" x14ac:dyDescent="0.25">
      <c r="B30" s="17"/>
      <c r="C30" s="17"/>
      <c r="D30" s="17"/>
      <c r="E30" s="17"/>
      <c r="F30" s="17"/>
      <c r="G30" s="17"/>
      <c r="H30" s="17"/>
    </row>
    <row r="31" spans="1:29" x14ac:dyDescent="0.25">
      <c r="A31" s="8" t="s">
        <v>264</v>
      </c>
      <c r="B31" s="17"/>
      <c r="C31" s="17"/>
      <c r="D31" s="17"/>
      <c r="E31" s="17"/>
      <c r="F31" s="17"/>
      <c r="G31" s="17"/>
      <c r="H31" s="17"/>
    </row>
    <row r="32" spans="1:29" x14ac:dyDescent="0.25">
      <c r="A32" s="8" t="s">
        <v>263</v>
      </c>
      <c r="B32" s="17"/>
      <c r="C32" s="17"/>
      <c r="D32" s="17"/>
      <c r="E32" s="17"/>
      <c r="F32" s="17"/>
      <c r="G32" s="17"/>
      <c r="H32" s="17"/>
    </row>
    <row r="33" spans="1:15" x14ac:dyDescent="0.25">
      <c r="B33" s="17"/>
      <c r="C33" s="17"/>
      <c r="D33" s="17"/>
      <c r="E33" s="17"/>
      <c r="F33" s="17"/>
      <c r="G33" s="17"/>
      <c r="H33" s="17"/>
      <c r="M33" s="17"/>
      <c r="N33" s="17"/>
      <c r="O33" s="17"/>
    </row>
    <row r="34" spans="1:15" x14ac:dyDescent="0.25">
      <c r="B34" s="17"/>
      <c r="C34" s="17"/>
      <c r="D34" s="17"/>
      <c r="E34" s="17"/>
      <c r="F34" s="17"/>
      <c r="G34" s="17"/>
      <c r="H34" s="17"/>
      <c r="M34" s="17"/>
      <c r="N34" s="17"/>
      <c r="O34" s="17"/>
    </row>
    <row r="35" spans="1:15" x14ac:dyDescent="0.25">
      <c r="H35" s="19" t="s">
        <v>300</v>
      </c>
      <c r="M35" s="17"/>
      <c r="N35" s="17"/>
      <c r="O35" s="17"/>
    </row>
    <row r="36" spans="1:15" x14ac:dyDescent="0.25">
      <c r="H36" s="19" t="s">
        <v>23</v>
      </c>
      <c r="M36" s="17"/>
      <c r="N36" s="17"/>
      <c r="O36" s="17"/>
    </row>
    <row r="37" spans="1:15" x14ac:dyDescent="0.25">
      <c r="H37" s="19" t="s">
        <v>309</v>
      </c>
      <c r="M37" s="17"/>
      <c r="N37" s="17"/>
      <c r="O37" s="17"/>
    </row>
    <row r="38" spans="1:15" ht="15.6" x14ac:dyDescent="0.3">
      <c r="A38" s="60" t="s">
        <v>290</v>
      </c>
      <c r="B38" s="60"/>
      <c r="C38" s="60"/>
      <c r="D38" s="60"/>
      <c r="E38" s="60"/>
      <c r="F38" s="60"/>
      <c r="G38" s="60"/>
      <c r="H38" s="60"/>
      <c r="M38" s="17"/>
      <c r="N38" s="17"/>
      <c r="O38" s="17"/>
    </row>
    <row r="39" spans="1:15" ht="15.6" x14ac:dyDescent="0.3">
      <c r="A39" s="60" t="s">
        <v>298</v>
      </c>
      <c r="B39" s="60"/>
      <c r="C39" s="60"/>
      <c r="D39" s="60"/>
      <c r="E39" s="60"/>
      <c r="F39" s="60"/>
      <c r="G39" s="60"/>
      <c r="H39" s="60"/>
      <c r="M39" s="17"/>
      <c r="N39" s="17"/>
      <c r="O39" s="17"/>
    </row>
    <row r="40" spans="1:15" x14ac:dyDescent="0.25">
      <c r="A40" s="16"/>
      <c r="C40" s="16"/>
      <c r="D40" s="16"/>
      <c r="E40" s="16"/>
      <c r="F40" s="16"/>
      <c r="G40" s="16"/>
      <c r="H40" s="16"/>
      <c r="M40" s="17"/>
      <c r="N40" s="17"/>
      <c r="O40" s="17"/>
    </row>
    <row r="41" spans="1:15" ht="15.6" x14ac:dyDescent="0.3">
      <c r="A41" s="60" t="s">
        <v>292</v>
      </c>
      <c r="B41" s="60"/>
      <c r="C41" s="60"/>
      <c r="D41" s="60"/>
      <c r="E41" s="60"/>
      <c r="F41" s="60"/>
      <c r="G41" s="60"/>
      <c r="H41" s="60"/>
      <c r="M41" s="17"/>
      <c r="N41" s="17"/>
      <c r="O41" s="17"/>
    </row>
    <row r="42" spans="1:15" ht="15.6" x14ac:dyDescent="0.3">
      <c r="A42" s="46"/>
      <c r="B42" s="46"/>
      <c r="C42" s="46"/>
      <c r="D42" s="46"/>
      <c r="E42" s="46"/>
      <c r="F42" s="46"/>
      <c r="G42" s="46"/>
      <c r="H42" s="46"/>
      <c r="M42" s="17"/>
      <c r="N42" s="17"/>
      <c r="O42" s="17"/>
    </row>
    <row r="43" spans="1:15" ht="15.6" x14ac:dyDescent="0.3">
      <c r="A43" s="62" t="s">
        <v>22</v>
      </c>
      <c r="B43" s="62"/>
      <c r="C43" s="62"/>
      <c r="D43" s="62"/>
      <c r="E43" s="62"/>
      <c r="F43" s="62"/>
      <c r="G43" s="62"/>
      <c r="H43" s="62"/>
      <c r="M43" s="17"/>
      <c r="N43" s="17"/>
      <c r="O43" s="17"/>
    </row>
    <row r="44" spans="1:15" x14ac:dyDescent="0.25">
      <c r="M44" s="17"/>
      <c r="N44" s="17"/>
      <c r="O44" s="17"/>
    </row>
    <row r="45" spans="1:15" x14ac:dyDescent="0.25">
      <c r="M45" s="17"/>
      <c r="N45" s="17"/>
      <c r="O45" s="17"/>
    </row>
    <row r="46" spans="1:15" ht="15.6" x14ac:dyDescent="0.3">
      <c r="E46" s="61" t="s">
        <v>307</v>
      </c>
      <c r="F46" s="61"/>
      <c r="G46" s="61"/>
      <c r="H46" s="61"/>
      <c r="M46" s="17"/>
      <c r="N46" s="17"/>
      <c r="O46" s="17"/>
    </row>
    <row r="47" spans="1:15" x14ac:dyDescent="0.25">
      <c r="M47" s="17"/>
      <c r="N47" s="17"/>
      <c r="O47" s="17"/>
    </row>
    <row r="48" spans="1:15" x14ac:dyDescent="0.25">
      <c r="C48" s="18">
        <v>43830</v>
      </c>
      <c r="M48" s="17"/>
      <c r="N48" s="17"/>
      <c r="O48" s="17"/>
    </row>
    <row r="49" spans="1:15" x14ac:dyDescent="0.25">
      <c r="B49" s="9" t="s">
        <v>1</v>
      </c>
      <c r="C49" s="9" t="s">
        <v>2</v>
      </c>
      <c r="G49" s="9" t="s">
        <v>3</v>
      </c>
      <c r="H49" s="9" t="s">
        <v>19</v>
      </c>
      <c r="M49" s="17"/>
      <c r="N49" s="17"/>
      <c r="O49" s="17"/>
    </row>
    <row r="50" spans="1:15" x14ac:dyDescent="0.25">
      <c r="B50" s="9" t="s">
        <v>4</v>
      </c>
      <c r="C50" s="9" t="s">
        <v>5</v>
      </c>
      <c r="E50" s="9" t="s">
        <v>6</v>
      </c>
      <c r="F50" s="9" t="s">
        <v>7</v>
      </c>
      <c r="G50" s="9" t="s">
        <v>8</v>
      </c>
      <c r="H50" s="9" t="s">
        <v>20</v>
      </c>
      <c r="M50" s="17"/>
      <c r="N50" s="17"/>
      <c r="O50" s="17"/>
    </row>
    <row r="51" spans="1:15" x14ac:dyDescent="0.25">
      <c r="B51" s="6" t="s">
        <v>294</v>
      </c>
      <c r="C51" s="6" t="s">
        <v>9</v>
      </c>
      <c r="D51" s="7"/>
      <c r="E51" s="6" t="s">
        <v>10</v>
      </c>
      <c r="F51" s="6" t="s">
        <v>11</v>
      </c>
      <c r="G51" s="6" t="s">
        <v>11</v>
      </c>
      <c r="H51" s="6" t="s">
        <v>7</v>
      </c>
      <c r="M51" s="17"/>
      <c r="N51" s="17"/>
      <c r="O51" s="17"/>
    </row>
    <row r="52" spans="1:15" x14ac:dyDescent="0.25">
      <c r="M52" s="17"/>
      <c r="N52" s="17"/>
      <c r="O52" s="17"/>
    </row>
    <row r="53" spans="1:15" x14ac:dyDescent="0.25">
      <c r="A53" s="8" t="s">
        <v>12</v>
      </c>
      <c r="B53" s="17">
        <f>B19</f>
        <v>1726487095.8200002</v>
      </c>
      <c r="C53" s="17">
        <f>C19</f>
        <v>364192229</v>
      </c>
      <c r="E53" s="17">
        <f>+'Schedule B'!Y129</f>
        <v>43526466.172718026</v>
      </c>
      <c r="F53" s="17">
        <f>+'Schedule B'!Z129</f>
        <v>430582841</v>
      </c>
      <c r="G53" s="17">
        <f>C19-F53</f>
        <v>-66390612</v>
      </c>
      <c r="H53" s="42">
        <f>+G53/C19</f>
        <v>-0.18229552064385207</v>
      </c>
      <c r="M53" s="17"/>
      <c r="N53" s="17"/>
      <c r="O53" s="17"/>
    </row>
    <row r="54" spans="1:15" x14ac:dyDescent="0.25">
      <c r="A54" s="8" t="s">
        <v>286</v>
      </c>
      <c r="B54" s="17">
        <f>B20</f>
        <v>2416109</v>
      </c>
      <c r="C54" s="17">
        <f>C20</f>
        <v>327916.01</v>
      </c>
      <c r="E54" s="17">
        <f>+'Schedule B'!Y131</f>
        <v>69031.319999999992</v>
      </c>
      <c r="F54" s="17">
        <f>+'Schedule B'!Z131</f>
        <v>327916</v>
      </c>
      <c r="G54" s="17">
        <f>C20-F54</f>
        <v>1.0000000009313226E-2</v>
      </c>
      <c r="H54" s="43">
        <f>+G54/C20</f>
        <v>3.0495613829020503E-8</v>
      </c>
      <c r="M54" s="17"/>
      <c r="N54" s="17"/>
      <c r="O54" s="17"/>
    </row>
    <row r="55" spans="1:15" x14ac:dyDescent="0.25">
      <c r="B55" s="17"/>
      <c r="C55" s="17"/>
      <c r="E55" s="17"/>
      <c r="F55" s="17"/>
      <c r="G55" s="17"/>
      <c r="H55" s="42"/>
      <c r="M55" s="17"/>
      <c r="N55" s="17"/>
      <c r="O55" s="17"/>
    </row>
    <row r="56" spans="1:15" x14ac:dyDescent="0.25">
      <c r="A56" s="8" t="s">
        <v>13</v>
      </c>
      <c r="B56" s="17">
        <f>B22</f>
        <v>614658547.90999997</v>
      </c>
      <c r="C56" s="17">
        <f>C22</f>
        <v>132689593.5</v>
      </c>
      <c r="E56" s="17">
        <f>+'Schedule C'!Q89</f>
        <v>14263932.602013759</v>
      </c>
      <c r="F56" s="17">
        <f>+'Schedule C'!R89</f>
        <v>153290021.18000001</v>
      </c>
      <c r="G56" s="17">
        <f>C22-F56</f>
        <v>-20600427.680000007</v>
      </c>
      <c r="H56" s="42">
        <f>+G56/C22</f>
        <v>-0.15525277556902009</v>
      </c>
      <c r="M56" s="17"/>
      <c r="N56" s="17"/>
      <c r="O56" s="17"/>
    </row>
    <row r="57" spans="1:15" x14ac:dyDescent="0.25">
      <c r="B57" s="17"/>
      <c r="C57" s="17"/>
      <c r="E57" s="17"/>
      <c r="F57" s="17"/>
      <c r="G57" s="17"/>
      <c r="H57" s="42"/>
      <c r="M57" s="17"/>
      <c r="N57" s="17"/>
      <c r="O57" s="17"/>
    </row>
    <row r="58" spans="1:15" x14ac:dyDescent="0.25">
      <c r="A58" s="8" t="s">
        <v>21</v>
      </c>
      <c r="B58" s="17">
        <f>B24</f>
        <v>227057043.96000001</v>
      </c>
      <c r="C58" s="17">
        <f>C24</f>
        <v>80241847</v>
      </c>
      <c r="E58" s="17">
        <f>'Schedule D'!R93</f>
        <v>12921300.038435519</v>
      </c>
      <c r="F58" s="17">
        <f>'Schedule D'!S93</f>
        <v>82473991</v>
      </c>
      <c r="G58" s="17">
        <f>C24-F58</f>
        <v>-2232144</v>
      </c>
      <c r="H58" s="42">
        <f>+G58/C24</f>
        <v>-2.7817704644809583E-2</v>
      </c>
      <c r="M58" s="17"/>
      <c r="N58" s="17"/>
      <c r="O58" s="17"/>
    </row>
    <row r="59" spans="1:15" x14ac:dyDescent="0.25">
      <c r="A59" s="8" t="s">
        <v>287</v>
      </c>
      <c r="B59" s="17">
        <f>B25</f>
        <v>41594920</v>
      </c>
      <c r="C59" s="17">
        <f>C25</f>
        <v>21067732.199999999</v>
      </c>
      <c r="E59" s="17">
        <f>'Schedule D'!R101</f>
        <v>7504294.3000000007</v>
      </c>
      <c r="F59" s="17">
        <f>'Schedule D'!S101</f>
        <v>21067732</v>
      </c>
      <c r="G59" s="17">
        <f>C25-F59</f>
        <v>0.19999999925494194</v>
      </c>
      <c r="H59" s="43">
        <f>+G59/C25</f>
        <v>9.4931906935356784E-9</v>
      </c>
      <c r="M59" s="17"/>
      <c r="N59" s="17"/>
      <c r="O59" s="17"/>
    </row>
    <row r="60" spans="1:15" ht="15.6" thickBot="1" x14ac:dyDescent="0.3">
      <c r="B60" s="17"/>
      <c r="C60" s="17"/>
      <c r="E60" s="17"/>
      <c r="F60" s="17"/>
      <c r="G60" s="17"/>
      <c r="H60" s="17"/>
      <c r="M60" s="17"/>
      <c r="N60" s="17"/>
      <c r="O60" s="17"/>
    </row>
    <row r="61" spans="1:15" ht="15.6" thickTop="1" x14ac:dyDescent="0.25">
      <c r="B61" s="36"/>
      <c r="C61" s="36"/>
      <c r="E61" s="36"/>
      <c r="F61" s="36"/>
      <c r="G61" s="36"/>
      <c r="H61" s="36"/>
      <c r="M61" s="17"/>
      <c r="N61" s="17"/>
      <c r="O61" s="17"/>
    </row>
    <row r="62" spans="1:15" x14ac:dyDescent="0.25">
      <c r="B62" s="17">
        <f>SUM(B53:B60)</f>
        <v>2612213716.6900001</v>
      </c>
      <c r="C62" s="17">
        <f>SUM(C53:C60)</f>
        <v>598519317.71000004</v>
      </c>
      <c r="E62" s="17">
        <f>SUM(E53:E60)</f>
        <v>78285024.433167294</v>
      </c>
      <c r="F62" s="17">
        <f>SUM(F53:F60)</f>
        <v>687742501.18000007</v>
      </c>
      <c r="G62" s="17">
        <f>SUM(G53:G60)</f>
        <v>-89223183.470000014</v>
      </c>
      <c r="H62" s="42">
        <f>+G62/C28</f>
        <v>-0.1490731891685261</v>
      </c>
      <c r="M62" s="17"/>
      <c r="N62" s="17"/>
      <c r="O62" s="17"/>
    </row>
    <row r="63" spans="1:15" x14ac:dyDescent="0.25">
      <c r="E63" s="17"/>
      <c r="F63" s="17"/>
      <c r="G63" s="17"/>
      <c r="M63" s="17"/>
      <c r="N63" s="17"/>
      <c r="O63" s="17"/>
    </row>
    <row r="64" spans="1:15" x14ac:dyDescent="0.25">
      <c r="E64" s="17"/>
      <c r="F64" s="17"/>
      <c r="G64" s="17"/>
      <c r="M64" s="17"/>
      <c r="N64" s="17"/>
      <c r="O64" s="17"/>
    </row>
    <row r="65" spans="1:15" x14ac:dyDescent="0.25">
      <c r="A65" s="8" t="s">
        <v>264</v>
      </c>
      <c r="E65" s="17"/>
      <c r="F65" s="17"/>
      <c r="G65" s="17"/>
      <c r="M65" s="17"/>
      <c r="N65" s="17"/>
      <c r="O65" s="17"/>
    </row>
    <row r="66" spans="1:15" x14ac:dyDescent="0.25">
      <c r="A66" s="8" t="s">
        <v>263</v>
      </c>
      <c r="E66" s="17"/>
      <c r="F66" s="17"/>
      <c r="G66" s="17"/>
      <c r="M66" s="17"/>
      <c r="N66" s="17"/>
      <c r="O66" s="17"/>
    </row>
    <row r="67" spans="1:15" x14ac:dyDescent="0.25">
      <c r="B67" s="17"/>
      <c r="C67" s="17"/>
      <c r="D67" s="17"/>
      <c r="E67" s="17"/>
      <c r="F67" s="17"/>
      <c r="G67" s="17"/>
      <c r="H67" s="17"/>
      <c r="M67" s="17"/>
      <c r="N67" s="17"/>
      <c r="O67" s="17"/>
    </row>
    <row r="68" spans="1:15" x14ac:dyDescent="0.25">
      <c r="B68" s="17"/>
      <c r="C68" s="17"/>
      <c r="D68" s="17"/>
      <c r="E68" s="17"/>
      <c r="F68" s="17"/>
      <c r="G68" s="17"/>
      <c r="H68" s="17"/>
      <c r="M68" s="17"/>
      <c r="N68" s="17"/>
      <c r="O68" s="17"/>
    </row>
    <row r="69" spans="1:15" x14ac:dyDescent="0.25">
      <c r="B69" s="17"/>
      <c r="C69" s="17"/>
      <c r="D69" s="17"/>
      <c r="E69" s="17"/>
      <c r="F69" s="17"/>
      <c r="G69" s="17"/>
      <c r="H69" s="17"/>
      <c r="M69" s="17"/>
      <c r="N69" s="17"/>
      <c r="O69" s="17"/>
    </row>
    <row r="70" spans="1:15" x14ac:dyDescent="0.25">
      <c r="B70" s="17"/>
      <c r="C70" s="17"/>
      <c r="D70" s="17"/>
      <c r="E70" s="17"/>
      <c r="F70" s="17"/>
      <c r="G70" s="17"/>
      <c r="H70" s="17"/>
      <c r="M70" s="17"/>
      <c r="N70" s="17"/>
      <c r="O70" s="17"/>
    </row>
    <row r="71" spans="1:15" x14ac:dyDescent="0.25">
      <c r="B71" s="17"/>
      <c r="C71" s="17"/>
      <c r="D71" s="17"/>
      <c r="E71" s="17"/>
      <c r="F71" s="17"/>
      <c r="G71" s="17"/>
      <c r="H71" s="17"/>
      <c r="M71" s="17"/>
      <c r="N71" s="17"/>
      <c r="O71" s="17"/>
    </row>
    <row r="72" spans="1:15" x14ac:dyDescent="0.25">
      <c r="B72" s="17"/>
      <c r="C72" s="17"/>
      <c r="D72" s="17"/>
      <c r="E72" s="17"/>
      <c r="F72" s="17"/>
      <c r="G72" s="17"/>
      <c r="H72" s="17"/>
      <c r="M72" s="17"/>
      <c r="N72" s="17"/>
      <c r="O72" s="17"/>
    </row>
    <row r="73" spans="1:15" x14ac:dyDescent="0.25">
      <c r="B73" s="17"/>
      <c r="C73" s="17"/>
      <c r="D73" s="17"/>
      <c r="E73" s="17"/>
      <c r="F73" s="17"/>
      <c r="G73" s="17"/>
      <c r="H73" s="17"/>
      <c r="M73" s="17"/>
      <c r="N73" s="17"/>
      <c r="O73" s="17"/>
    </row>
    <row r="74" spans="1:15" x14ac:dyDescent="0.25">
      <c r="B74" s="17"/>
      <c r="C74" s="17"/>
      <c r="D74" s="17"/>
      <c r="E74" s="17"/>
      <c r="F74" s="17"/>
      <c r="G74" s="17"/>
      <c r="H74" s="17"/>
      <c r="M74" s="17"/>
      <c r="N74" s="17"/>
      <c r="O74" s="17"/>
    </row>
    <row r="75" spans="1:15" x14ac:dyDescent="0.25">
      <c r="B75" s="17"/>
      <c r="C75" s="17"/>
      <c r="D75" s="17"/>
      <c r="E75" s="17"/>
      <c r="F75" s="17"/>
      <c r="G75" s="17"/>
      <c r="H75" s="17"/>
      <c r="M75" s="17"/>
      <c r="N75" s="17"/>
      <c r="O75" s="17"/>
    </row>
    <row r="76" spans="1:15" x14ac:dyDescent="0.25">
      <c r="B76" s="17"/>
      <c r="C76" s="17"/>
      <c r="D76" s="17"/>
      <c r="E76" s="17"/>
      <c r="F76" s="17"/>
      <c r="G76" s="17"/>
      <c r="H76" s="17"/>
      <c r="M76" s="17"/>
      <c r="N76" s="17"/>
      <c r="O76" s="17"/>
    </row>
    <row r="77" spans="1:15" x14ac:dyDescent="0.25">
      <c r="B77" s="17"/>
      <c r="C77" s="17"/>
      <c r="D77" s="17"/>
      <c r="E77" s="17"/>
      <c r="F77" s="17"/>
      <c r="G77" s="17"/>
      <c r="H77" s="17"/>
      <c r="M77" s="17"/>
      <c r="N77" s="17"/>
      <c r="O77" s="17"/>
    </row>
    <row r="78" spans="1:15" x14ac:dyDescent="0.25">
      <c r="B78" s="17"/>
      <c r="C78" s="17"/>
      <c r="D78" s="17"/>
      <c r="E78" s="17"/>
      <c r="F78" s="17"/>
      <c r="G78" s="17"/>
      <c r="H78" s="17"/>
      <c r="M78" s="17"/>
      <c r="N78" s="17"/>
      <c r="O78" s="17"/>
    </row>
    <row r="79" spans="1:15" x14ac:dyDescent="0.25">
      <c r="B79" s="17"/>
      <c r="C79" s="17"/>
      <c r="D79" s="17"/>
      <c r="E79" s="17"/>
      <c r="F79" s="17"/>
      <c r="G79" s="17"/>
      <c r="H79" s="17"/>
      <c r="M79" s="17"/>
      <c r="N79" s="17"/>
      <c r="O79" s="17"/>
    </row>
    <row r="80" spans="1:15" x14ac:dyDescent="0.25">
      <c r="B80" s="17"/>
      <c r="C80" s="17"/>
      <c r="D80" s="17"/>
      <c r="E80" s="17"/>
      <c r="F80" s="17"/>
      <c r="G80" s="17"/>
      <c r="H80" s="17"/>
      <c r="M80" s="17"/>
      <c r="N80" s="17"/>
      <c r="O80" s="17"/>
    </row>
    <row r="81" spans="2:15" x14ac:dyDescent="0.25">
      <c r="B81" s="17"/>
      <c r="C81" s="17"/>
      <c r="D81" s="17"/>
      <c r="E81" s="17"/>
      <c r="F81" s="17"/>
      <c r="G81" s="17"/>
      <c r="H81" s="17"/>
      <c r="M81" s="17"/>
      <c r="N81" s="17"/>
      <c r="O81" s="17"/>
    </row>
    <row r="82" spans="2:15" x14ac:dyDescent="0.25">
      <c r="B82" s="17"/>
      <c r="C82" s="17"/>
      <c r="D82" s="17"/>
      <c r="E82" s="17"/>
      <c r="F82" s="17"/>
      <c r="G82" s="17"/>
      <c r="H82" s="17"/>
      <c r="M82" s="17"/>
      <c r="N82" s="17"/>
      <c r="O82" s="17"/>
    </row>
    <row r="83" spans="2:15" x14ac:dyDescent="0.25">
      <c r="B83" s="17"/>
      <c r="C83" s="17"/>
      <c r="D83" s="17"/>
      <c r="E83" s="17"/>
      <c r="F83" s="17"/>
      <c r="G83" s="17"/>
      <c r="H83" s="17"/>
      <c r="M83" s="17"/>
      <c r="N83" s="17"/>
      <c r="O83" s="17"/>
    </row>
    <row r="84" spans="2:15" x14ac:dyDescent="0.25">
      <c r="B84" s="17"/>
      <c r="C84" s="17"/>
      <c r="D84" s="17"/>
      <c r="E84" s="17"/>
      <c r="F84" s="17"/>
      <c r="G84" s="17"/>
      <c r="H84" s="17"/>
      <c r="M84" s="17"/>
      <c r="N84" s="17"/>
      <c r="O84" s="17"/>
    </row>
    <row r="85" spans="2:15" x14ac:dyDescent="0.25">
      <c r="B85" s="17"/>
      <c r="C85" s="17"/>
      <c r="D85" s="17"/>
      <c r="E85" s="17"/>
      <c r="F85" s="17"/>
      <c r="G85" s="17"/>
      <c r="H85" s="17"/>
      <c r="M85" s="17"/>
      <c r="N85" s="17"/>
      <c r="O85" s="17"/>
    </row>
    <row r="86" spans="2:15" x14ac:dyDescent="0.25">
      <c r="B86" s="17"/>
      <c r="C86" s="17"/>
      <c r="D86" s="17"/>
      <c r="E86" s="17"/>
      <c r="F86" s="17"/>
      <c r="G86" s="17"/>
      <c r="H86" s="17"/>
      <c r="M86" s="17"/>
      <c r="N86" s="17"/>
      <c r="O86" s="17"/>
    </row>
    <row r="87" spans="2:15" x14ac:dyDescent="0.25">
      <c r="B87" s="17"/>
      <c r="C87" s="17"/>
      <c r="D87" s="17"/>
      <c r="E87" s="17"/>
      <c r="F87" s="17"/>
      <c r="G87" s="17"/>
      <c r="H87" s="17"/>
      <c r="M87" s="17"/>
      <c r="N87" s="17"/>
      <c r="O87" s="17"/>
    </row>
    <row r="88" spans="2:15" x14ac:dyDescent="0.25">
      <c r="B88" s="17"/>
      <c r="C88" s="17"/>
      <c r="D88" s="17"/>
      <c r="E88" s="17"/>
      <c r="F88" s="17"/>
      <c r="G88" s="17"/>
      <c r="H88" s="17"/>
      <c r="M88" s="17"/>
      <c r="N88" s="17"/>
      <c r="O88" s="17"/>
    </row>
    <row r="89" spans="2:15" x14ac:dyDescent="0.25">
      <c r="N89" s="17"/>
      <c r="O89" s="17"/>
    </row>
    <row r="90" spans="2:15" x14ac:dyDescent="0.25">
      <c r="N90" s="17"/>
      <c r="O90" s="17"/>
    </row>
    <row r="91" spans="2:15" x14ac:dyDescent="0.25">
      <c r="N91" s="17"/>
      <c r="O91" s="17"/>
    </row>
    <row r="92" spans="2:15" x14ac:dyDescent="0.25">
      <c r="N92" s="17"/>
      <c r="O92" s="17"/>
    </row>
    <row r="93" spans="2:15" x14ac:dyDescent="0.25">
      <c r="N93" s="17"/>
      <c r="O93" s="17"/>
    </row>
    <row r="94" spans="2:15" x14ac:dyDescent="0.25">
      <c r="N94" s="17"/>
      <c r="O94" s="17"/>
    </row>
    <row r="95" spans="2:15" x14ac:dyDescent="0.25">
      <c r="E95" s="1"/>
      <c r="F95" s="1"/>
      <c r="G95" s="1"/>
      <c r="H95" s="1"/>
      <c r="M95" s="1"/>
      <c r="N95" s="1"/>
      <c r="O95" s="1"/>
    </row>
    <row r="99" spans="2:17" x14ac:dyDescent="0.25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2:17" x14ac:dyDescent="0.25">
      <c r="N100" s="17"/>
      <c r="O100" s="17"/>
    </row>
    <row r="101" spans="2:17" x14ac:dyDescent="0.25">
      <c r="B101" s="17"/>
      <c r="C101" s="17"/>
      <c r="D101" s="17"/>
      <c r="E101" s="17"/>
      <c r="F101" s="17"/>
      <c r="G101" s="17"/>
      <c r="H101" s="17"/>
      <c r="M101" s="17"/>
      <c r="N101" s="17"/>
      <c r="O101" s="17"/>
    </row>
    <row r="102" spans="2:17" x14ac:dyDescent="0.25">
      <c r="B102" s="17"/>
      <c r="C102" s="17"/>
      <c r="D102" s="17"/>
      <c r="E102" s="17"/>
      <c r="F102" s="17"/>
      <c r="G102" s="17"/>
      <c r="H102" s="17"/>
      <c r="M102" s="17"/>
      <c r="N102" s="17"/>
      <c r="O102" s="17"/>
    </row>
    <row r="103" spans="2:17" x14ac:dyDescent="0.25">
      <c r="B103" s="17"/>
      <c r="C103" s="17"/>
      <c r="D103" s="17"/>
      <c r="E103" s="17"/>
      <c r="F103" s="17"/>
      <c r="G103" s="17"/>
      <c r="H103" s="17"/>
      <c r="M103" s="17"/>
      <c r="N103" s="17"/>
      <c r="O103" s="17"/>
    </row>
    <row r="104" spans="2:17" x14ac:dyDescent="0.25">
      <c r="B104" s="17"/>
      <c r="C104" s="17"/>
      <c r="D104" s="17"/>
      <c r="E104" s="17"/>
      <c r="F104" s="17"/>
      <c r="G104" s="17"/>
      <c r="H104" s="17"/>
      <c r="M104" s="17"/>
      <c r="N104" s="17"/>
      <c r="O104" s="17"/>
    </row>
    <row r="105" spans="2:17" x14ac:dyDescent="0.25">
      <c r="B105" s="17"/>
      <c r="C105" s="17"/>
      <c r="D105" s="17"/>
      <c r="E105" s="17"/>
      <c r="F105" s="17"/>
      <c r="G105" s="17"/>
      <c r="H105" s="17"/>
      <c r="M105" s="17"/>
      <c r="N105" s="17"/>
      <c r="O105" s="17"/>
    </row>
    <row r="106" spans="2:17" x14ac:dyDescent="0.25">
      <c r="B106" s="17"/>
      <c r="C106" s="17"/>
      <c r="D106" s="17"/>
      <c r="E106" s="17"/>
      <c r="F106" s="17"/>
      <c r="G106" s="17"/>
      <c r="H106" s="17"/>
      <c r="M106" s="17"/>
      <c r="N106" s="17"/>
      <c r="O106" s="17"/>
    </row>
    <row r="107" spans="2:17" x14ac:dyDescent="0.25">
      <c r="B107" s="17"/>
      <c r="C107" s="17"/>
      <c r="D107" s="17"/>
      <c r="E107" s="17"/>
      <c r="F107" s="17"/>
      <c r="G107" s="17"/>
      <c r="H107" s="17"/>
      <c r="M107" s="17"/>
      <c r="N107" s="17"/>
      <c r="O107" s="17"/>
    </row>
    <row r="108" spans="2:17" x14ac:dyDescent="0.25">
      <c r="B108" s="17"/>
      <c r="C108" s="17"/>
      <c r="D108" s="17"/>
      <c r="E108" s="17"/>
      <c r="F108" s="17"/>
      <c r="G108" s="17"/>
      <c r="H108" s="17"/>
      <c r="M108" s="17"/>
      <c r="N108" s="17"/>
      <c r="O108" s="17"/>
    </row>
    <row r="109" spans="2:17" x14ac:dyDescent="0.25">
      <c r="B109" s="17"/>
      <c r="C109" s="17"/>
      <c r="D109" s="17"/>
      <c r="E109" s="17"/>
      <c r="F109" s="17"/>
      <c r="G109" s="17"/>
      <c r="H109" s="17"/>
      <c r="M109" s="17"/>
      <c r="N109" s="17"/>
      <c r="O109" s="17"/>
    </row>
    <row r="110" spans="2:17" x14ac:dyDescent="0.25">
      <c r="B110" s="17"/>
      <c r="C110" s="17"/>
      <c r="D110" s="17"/>
      <c r="E110" s="17"/>
      <c r="F110" s="17"/>
      <c r="G110" s="17"/>
      <c r="H110" s="17"/>
      <c r="M110" s="17"/>
      <c r="N110" s="17"/>
      <c r="O110" s="17"/>
    </row>
    <row r="111" spans="2:17" x14ac:dyDescent="0.25">
      <c r="B111" s="17"/>
      <c r="C111" s="17"/>
      <c r="D111" s="17"/>
      <c r="E111" s="17"/>
      <c r="F111" s="17"/>
      <c r="G111" s="17"/>
      <c r="H111" s="17"/>
      <c r="M111" s="17"/>
      <c r="N111" s="17"/>
      <c r="O111" s="17"/>
    </row>
    <row r="112" spans="2:17" x14ac:dyDescent="0.25">
      <c r="B112" s="17"/>
      <c r="C112" s="17"/>
      <c r="D112" s="17"/>
      <c r="E112" s="17"/>
      <c r="F112" s="17"/>
      <c r="G112" s="17"/>
      <c r="H112" s="17"/>
      <c r="M112" s="17"/>
      <c r="N112" s="17"/>
      <c r="O112" s="17"/>
    </row>
    <row r="113" spans="2:15" x14ac:dyDescent="0.25">
      <c r="B113" s="17"/>
      <c r="C113" s="17"/>
      <c r="D113" s="17"/>
      <c r="E113" s="17"/>
      <c r="F113" s="17"/>
      <c r="G113" s="17"/>
      <c r="H113" s="17"/>
      <c r="M113" s="17"/>
      <c r="N113" s="17"/>
      <c r="O113" s="17"/>
    </row>
    <row r="114" spans="2:15" x14ac:dyDescent="0.25">
      <c r="B114" s="17"/>
      <c r="C114" s="17"/>
      <c r="D114" s="17"/>
      <c r="E114" s="17"/>
      <c r="F114" s="17"/>
      <c r="G114" s="17"/>
      <c r="H114" s="17"/>
      <c r="M114" s="17"/>
      <c r="N114" s="17"/>
      <c r="O114" s="17"/>
    </row>
    <row r="115" spans="2:15" x14ac:dyDescent="0.25">
      <c r="B115" s="17"/>
      <c r="C115" s="17"/>
      <c r="D115" s="17"/>
      <c r="E115" s="17"/>
      <c r="F115" s="17"/>
      <c r="G115" s="17"/>
      <c r="H115" s="17"/>
      <c r="M115" s="17"/>
      <c r="N115" s="17"/>
      <c r="O115" s="17"/>
    </row>
    <row r="116" spans="2:15" x14ac:dyDescent="0.25">
      <c r="B116" s="17"/>
      <c r="C116" s="17"/>
      <c r="D116" s="17"/>
      <c r="E116" s="17"/>
      <c r="F116" s="17"/>
      <c r="G116" s="17"/>
      <c r="H116" s="17"/>
      <c r="I116" s="2"/>
      <c r="J116" s="2"/>
      <c r="K116" s="2"/>
      <c r="L116" s="2"/>
      <c r="M116" s="17"/>
      <c r="N116" s="17"/>
      <c r="O116" s="17"/>
    </row>
    <row r="117" spans="2:15" x14ac:dyDescent="0.25">
      <c r="B117" s="17"/>
      <c r="C117" s="17"/>
      <c r="D117" s="17"/>
      <c r="E117" s="17"/>
      <c r="F117" s="17"/>
      <c r="G117" s="17"/>
      <c r="H117" s="17"/>
      <c r="M117" s="17"/>
      <c r="N117" s="17"/>
      <c r="O117" s="17"/>
    </row>
    <row r="118" spans="2:15" ht="15.6" x14ac:dyDescent="0.3">
      <c r="B118" s="17"/>
      <c r="C118" s="17"/>
      <c r="D118" s="17"/>
      <c r="E118" s="17"/>
      <c r="F118" s="17"/>
      <c r="G118" s="17"/>
      <c r="H118" s="17"/>
      <c r="M118" s="17"/>
      <c r="N118" s="17"/>
      <c r="O118" s="3"/>
    </row>
    <row r="119" spans="2:15" ht="15.6" x14ac:dyDescent="0.3">
      <c r="B119" s="17"/>
      <c r="C119" s="17"/>
      <c r="D119" s="17"/>
      <c r="E119" s="17"/>
      <c r="F119" s="17"/>
      <c r="G119" s="17"/>
      <c r="H119" s="17"/>
      <c r="M119" s="17"/>
      <c r="N119" s="17"/>
      <c r="O119" s="3"/>
    </row>
    <row r="120" spans="2:15" x14ac:dyDescent="0.25">
      <c r="B120" s="17"/>
      <c r="C120" s="17"/>
      <c r="D120" s="17"/>
      <c r="E120" s="17"/>
      <c r="F120" s="17"/>
      <c r="G120" s="17"/>
      <c r="H120" s="17"/>
      <c r="M120" s="17"/>
      <c r="N120" s="17"/>
      <c r="O120" s="17"/>
    </row>
    <row r="121" spans="2:15" x14ac:dyDescent="0.25">
      <c r="B121" s="17"/>
      <c r="C121" s="17"/>
      <c r="D121" s="17"/>
      <c r="E121" s="17"/>
      <c r="F121" s="17"/>
      <c r="G121" s="17"/>
      <c r="H121" s="17"/>
      <c r="M121" s="17"/>
      <c r="N121" s="17"/>
      <c r="O121" s="17"/>
    </row>
    <row r="122" spans="2:15" x14ac:dyDescent="0.25">
      <c r="B122" s="17"/>
      <c r="C122" s="17"/>
      <c r="D122" s="17"/>
      <c r="E122" s="17"/>
      <c r="F122" s="17"/>
      <c r="G122" s="17"/>
      <c r="H122" s="17"/>
      <c r="M122" s="17"/>
      <c r="N122" s="17"/>
      <c r="O122" s="17"/>
    </row>
    <row r="123" spans="2:15" x14ac:dyDescent="0.25">
      <c r="B123" s="17"/>
      <c r="C123" s="17"/>
      <c r="D123" s="17"/>
      <c r="E123" s="17"/>
      <c r="F123" s="17"/>
      <c r="G123" s="17"/>
      <c r="H123" s="17"/>
      <c r="M123" s="17"/>
      <c r="N123" s="17"/>
      <c r="O123" s="17"/>
    </row>
    <row r="124" spans="2:15" x14ac:dyDescent="0.25">
      <c r="B124" s="17"/>
      <c r="C124" s="17"/>
      <c r="D124" s="17"/>
      <c r="E124" s="17"/>
      <c r="F124" s="17"/>
      <c r="G124" s="17"/>
      <c r="H124" s="17"/>
      <c r="M124" s="17"/>
      <c r="N124" s="17"/>
      <c r="O124" s="17"/>
    </row>
    <row r="125" spans="2:15" x14ac:dyDescent="0.25">
      <c r="B125" s="17"/>
      <c r="C125" s="17"/>
      <c r="D125" s="17"/>
      <c r="E125" s="17"/>
      <c r="F125" s="17"/>
      <c r="G125" s="17"/>
      <c r="H125" s="17"/>
      <c r="M125" s="17"/>
      <c r="N125" s="17"/>
      <c r="O125" s="17"/>
    </row>
    <row r="126" spans="2:15" x14ac:dyDescent="0.25">
      <c r="B126" s="17"/>
      <c r="C126" s="17"/>
      <c r="D126" s="17"/>
      <c r="E126" s="17"/>
      <c r="F126" s="17"/>
      <c r="G126" s="17"/>
      <c r="H126" s="17"/>
      <c r="M126" s="17"/>
      <c r="N126" s="17"/>
      <c r="O126" s="17"/>
    </row>
    <row r="127" spans="2:15" x14ac:dyDescent="0.25">
      <c r="B127" s="17"/>
      <c r="C127" s="17"/>
      <c r="D127" s="17"/>
      <c r="E127" s="17"/>
      <c r="F127" s="17"/>
      <c r="G127" s="17"/>
      <c r="H127" s="17"/>
      <c r="M127" s="17"/>
    </row>
    <row r="128" spans="2:15" x14ac:dyDescent="0.25">
      <c r="B128" s="17"/>
      <c r="C128" s="17"/>
      <c r="D128" s="17"/>
      <c r="E128" s="17"/>
      <c r="F128" s="17"/>
      <c r="G128" s="17"/>
      <c r="H128" s="17"/>
      <c r="M128" s="17"/>
    </row>
    <row r="129" spans="2:13" x14ac:dyDescent="0.25">
      <c r="B129" s="17"/>
      <c r="C129" s="17"/>
      <c r="D129" s="17"/>
      <c r="E129" s="17"/>
      <c r="F129" s="17"/>
      <c r="G129" s="17"/>
      <c r="H129" s="17"/>
      <c r="M129" s="17"/>
    </row>
    <row r="130" spans="2:13" x14ac:dyDescent="0.25">
      <c r="B130" s="17"/>
      <c r="C130" s="17"/>
      <c r="D130" s="17"/>
      <c r="E130" s="17"/>
      <c r="F130" s="17"/>
      <c r="G130" s="17"/>
      <c r="H130" s="17"/>
      <c r="M130" s="17"/>
    </row>
    <row r="131" spans="2:13" x14ac:dyDescent="0.25">
      <c r="B131" s="17"/>
      <c r="C131" s="17"/>
      <c r="D131" s="17"/>
      <c r="E131" s="17"/>
      <c r="F131" s="17"/>
      <c r="G131" s="17"/>
      <c r="H131" s="17"/>
      <c r="M131" s="17"/>
    </row>
    <row r="132" spans="2:13" x14ac:dyDescent="0.25">
      <c r="B132" s="17"/>
      <c r="C132" s="17"/>
      <c r="D132" s="17"/>
      <c r="E132" s="17"/>
      <c r="F132" s="17"/>
      <c r="G132" s="17"/>
      <c r="H132" s="17"/>
      <c r="M132" s="17"/>
    </row>
    <row r="133" spans="2:13" x14ac:dyDescent="0.25">
      <c r="B133" s="17"/>
      <c r="C133" s="17"/>
      <c r="D133" s="17"/>
      <c r="E133" s="17"/>
      <c r="F133" s="17"/>
      <c r="G133" s="17"/>
      <c r="H133" s="17"/>
      <c r="M133" s="17"/>
    </row>
    <row r="134" spans="2:13" x14ac:dyDescent="0.25">
      <c r="B134" s="17"/>
      <c r="C134" s="17"/>
      <c r="D134" s="17"/>
      <c r="E134" s="17"/>
      <c r="F134" s="17"/>
      <c r="G134" s="17"/>
      <c r="H134" s="17"/>
      <c r="M134" s="17"/>
    </row>
    <row r="135" spans="2:13" x14ac:dyDescent="0.25">
      <c r="B135" s="17"/>
      <c r="C135" s="17"/>
      <c r="D135" s="17"/>
      <c r="E135" s="17"/>
      <c r="F135" s="17"/>
      <c r="G135" s="17"/>
      <c r="H135" s="17"/>
      <c r="M135" s="17"/>
    </row>
    <row r="136" spans="2:13" x14ac:dyDescent="0.25">
      <c r="B136" s="17"/>
      <c r="C136" s="17"/>
      <c r="D136" s="17"/>
      <c r="E136" s="17"/>
      <c r="F136" s="17"/>
      <c r="G136" s="17"/>
      <c r="H136" s="17"/>
      <c r="M136" s="17"/>
    </row>
    <row r="137" spans="2:13" x14ac:dyDescent="0.25">
      <c r="B137" s="17"/>
      <c r="C137" s="17"/>
      <c r="D137" s="17"/>
      <c r="E137" s="17"/>
      <c r="F137" s="17"/>
      <c r="G137" s="17"/>
      <c r="H137" s="17"/>
      <c r="M137" s="17"/>
    </row>
    <row r="138" spans="2:13" x14ac:dyDescent="0.25">
      <c r="B138" s="17"/>
      <c r="C138" s="17"/>
      <c r="D138" s="17"/>
      <c r="E138" s="17"/>
      <c r="F138" s="17"/>
      <c r="G138" s="17"/>
      <c r="H138" s="17"/>
      <c r="M138" s="17"/>
    </row>
    <row r="139" spans="2:13" x14ac:dyDescent="0.25">
      <c r="B139" s="17"/>
      <c r="C139" s="17"/>
      <c r="D139" s="17"/>
      <c r="E139" s="17"/>
      <c r="F139" s="17"/>
      <c r="G139" s="17"/>
      <c r="H139" s="17"/>
      <c r="M139" s="17"/>
    </row>
    <row r="140" spans="2:13" x14ac:dyDescent="0.25">
      <c r="B140" s="17"/>
      <c r="C140" s="17"/>
      <c r="D140" s="17"/>
      <c r="E140" s="17"/>
      <c r="F140" s="17"/>
      <c r="G140" s="17"/>
      <c r="H140" s="17"/>
      <c r="M140" s="17"/>
    </row>
    <row r="141" spans="2:13" x14ac:dyDescent="0.25">
      <c r="B141" s="17"/>
      <c r="C141" s="17"/>
      <c r="D141" s="17"/>
      <c r="E141" s="17"/>
      <c r="F141" s="17"/>
      <c r="G141" s="17"/>
      <c r="H141" s="17"/>
      <c r="M141" s="17"/>
    </row>
    <row r="142" spans="2:13" x14ac:dyDescent="0.25">
      <c r="B142" s="17"/>
      <c r="C142" s="17"/>
      <c r="D142" s="17"/>
      <c r="E142" s="17"/>
      <c r="F142" s="17"/>
      <c r="G142" s="17"/>
      <c r="H142" s="17"/>
      <c r="M142" s="17"/>
    </row>
    <row r="143" spans="2:13" x14ac:dyDescent="0.25">
      <c r="B143" s="17"/>
      <c r="C143" s="17"/>
      <c r="D143" s="17"/>
      <c r="E143" s="17"/>
      <c r="F143" s="17"/>
      <c r="G143" s="17"/>
      <c r="H143" s="17"/>
      <c r="M143" s="17"/>
    </row>
    <row r="144" spans="2:13" x14ac:dyDescent="0.25">
      <c r="B144" s="17"/>
      <c r="C144" s="17"/>
      <c r="D144" s="17"/>
      <c r="E144" s="17"/>
      <c r="F144" s="17"/>
      <c r="G144" s="17"/>
      <c r="H144" s="17"/>
      <c r="M144" s="17"/>
    </row>
    <row r="145" spans="2:13" x14ac:dyDescent="0.25">
      <c r="B145" s="17"/>
      <c r="C145" s="17"/>
      <c r="D145" s="17"/>
      <c r="E145" s="17"/>
      <c r="F145" s="17"/>
      <c r="G145" s="17"/>
      <c r="H145" s="17"/>
      <c r="M145" s="17"/>
    </row>
    <row r="146" spans="2:13" x14ac:dyDescent="0.25">
      <c r="B146" s="17"/>
      <c r="C146" s="17"/>
      <c r="D146" s="17"/>
      <c r="E146" s="17"/>
      <c r="F146" s="17"/>
      <c r="G146" s="17"/>
      <c r="H146" s="17"/>
      <c r="M146" s="17"/>
    </row>
    <row r="147" spans="2:13" x14ac:dyDescent="0.25">
      <c r="B147" s="17"/>
      <c r="C147" s="17"/>
      <c r="D147" s="17"/>
      <c r="E147" s="17"/>
      <c r="F147" s="17"/>
      <c r="G147" s="17"/>
      <c r="H147" s="17"/>
      <c r="M147" s="17"/>
    </row>
    <row r="148" spans="2:13" x14ac:dyDescent="0.25">
      <c r="B148" s="17"/>
      <c r="C148" s="17"/>
      <c r="D148" s="17"/>
      <c r="E148" s="17"/>
      <c r="F148" s="17"/>
      <c r="G148" s="17"/>
      <c r="H148" s="17"/>
      <c r="M148" s="17"/>
    </row>
    <row r="149" spans="2:13" x14ac:dyDescent="0.25">
      <c r="B149" s="17"/>
      <c r="C149" s="17"/>
      <c r="D149" s="17"/>
      <c r="E149" s="17"/>
      <c r="F149" s="17"/>
      <c r="G149" s="17"/>
      <c r="H149" s="17"/>
      <c r="M149" s="17"/>
    </row>
    <row r="150" spans="2:13" x14ac:dyDescent="0.25">
      <c r="B150" s="17"/>
      <c r="C150" s="17"/>
      <c r="D150" s="17"/>
      <c r="E150" s="17"/>
      <c r="F150" s="17"/>
      <c r="G150" s="17"/>
      <c r="H150" s="17"/>
      <c r="M150" s="17"/>
    </row>
    <row r="151" spans="2:13" x14ac:dyDescent="0.25">
      <c r="B151" s="17"/>
      <c r="C151" s="17"/>
      <c r="D151" s="17"/>
      <c r="E151" s="17"/>
      <c r="F151" s="17"/>
      <c r="G151" s="17"/>
      <c r="H151" s="17"/>
      <c r="M151" s="17"/>
    </row>
    <row r="152" spans="2:13" x14ac:dyDescent="0.25">
      <c r="B152" s="17"/>
      <c r="C152" s="17"/>
      <c r="D152" s="17"/>
      <c r="E152" s="17"/>
      <c r="F152" s="17"/>
      <c r="G152" s="17"/>
      <c r="H152" s="17"/>
      <c r="M152" s="17"/>
    </row>
    <row r="153" spans="2:13" x14ac:dyDescent="0.25">
      <c r="B153" s="17"/>
      <c r="C153" s="17"/>
      <c r="D153" s="17"/>
      <c r="E153" s="17"/>
      <c r="F153" s="17"/>
      <c r="G153" s="17"/>
      <c r="H153" s="17"/>
      <c r="M153" s="17"/>
    </row>
    <row r="154" spans="2:13" x14ac:dyDescent="0.25">
      <c r="B154" s="17"/>
      <c r="C154" s="17"/>
      <c r="D154" s="17"/>
      <c r="E154" s="17"/>
      <c r="F154" s="17"/>
      <c r="G154" s="17"/>
      <c r="H154" s="17"/>
      <c r="M154" s="17"/>
    </row>
    <row r="155" spans="2:13" x14ac:dyDescent="0.25">
      <c r="B155" s="17"/>
      <c r="C155" s="17"/>
      <c r="D155" s="17"/>
      <c r="E155" s="17"/>
      <c r="F155" s="17"/>
      <c r="G155" s="17"/>
      <c r="H155" s="17"/>
      <c r="M155" s="17"/>
    </row>
    <row r="156" spans="2:13" x14ac:dyDescent="0.25">
      <c r="B156" s="17"/>
      <c r="C156" s="17"/>
      <c r="D156" s="17"/>
      <c r="E156" s="17"/>
      <c r="F156" s="17"/>
      <c r="G156" s="17"/>
      <c r="H156" s="17"/>
      <c r="M156" s="17"/>
    </row>
    <row r="157" spans="2:13" x14ac:dyDescent="0.25">
      <c r="B157" s="17"/>
      <c r="C157" s="17"/>
      <c r="D157" s="17"/>
      <c r="E157" s="17"/>
      <c r="F157" s="17"/>
      <c r="G157" s="17"/>
      <c r="H157" s="17"/>
      <c r="M157" s="17"/>
    </row>
    <row r="158" spans="2:13" x14ac:dyDescent="0.25">
      <c r="B158" s="17"/>
      <c r="C158" s="17"/>
      <c r="D158" s="17"/>
      <c r="E158" s="17"/>
      <c r="F158" s="17"/>
      <c r="G158" s="17"/>
      <c r="H158" s="17"/>
      <c r="M158" s="17"/>
    </row>
    <row r="159" spans="2:13" x14ac:dyDescent="0.25">
      <c r="B159" s="17"/>
      <c r="C159" s="17"/>
      <c r="D159" s="17"/>
      <c r="E159" s="17"/>
      <c r="F159" s="17"/>
      <c r="G159" s="17"/>
      <c r="H159" s="17"/>
      <c r="M159" s="17"/>
    </row>
    <row r="160" spans="2:13" x14ac:dyDescent="0.25">
      <c r="B160" s="17"/>
      <c r="C160" s="17"/>
      <c r="D160" s="17"/>
      <c r="E160" s="17"/>
      <c r="F160" s="17"/>
      <c r="G160" s="17"/>
      <c r="H160" s="17"/>
      <c r="M160" s="17"/>
    </row>
    <row r="161" spans="2:13" x14ac:dyDescent="0.25">
      <c r="B161" s="17"/>
      <c r="C161" s="17"/>
      <c r="D161" s="17"/>
      <c r="E161" s="17"/>
      <c r="F161" s="17"/>
      <c r="G161" s="17"/>
      <c r="H161" s="17"/>
      <c r="M161" s="17"/>
    </row>
    <row r="162" spans="2:13" x14ac:dyDescent="0.25">
      <c r="B162" s="17"/>
      <c r="C162" s="17"/>
      <c r="D162" s="17"/>
      <c r="E162" s="17"/>
      <c r="F162" s="17"/>
      <c r="G162" s="17"/>
      <c r="H162" s="17"/>
      <c r="M162" s="17"/>
    </row>
    <row r="163" spans="2:13" x14ac:dyDescent="0.25">
      <c r="B163" s="17"/>
      <c r="C163" s="17"/>
      <c r="D163" s="17"/>
      <c r="E163" s="17"/>
      <c r="F163" s="17"/>
      <c r="G163" s="17"/>
      <c r="H163" s="17"/>
      <c r="M163" s="17"/>
    </row>
    <row r="164" spans="2:13" x14ac:dyDescent="0.25">
      <c r="B164" s="17"/>
      <c r="C164" s="17"/>
      <c r="D164" s="17"/>
      <c r="E164" s="17"/>
      <c r="F164" s="17"/>
      <c r="G164" s="17"/>
      <c r="H164" s="17"/>
      <c r="M164" s="17"/>
    </row>
    <row r="165" spans="2:13" x14ac:dyDescent="0.25">
      <c r="B165" s="17"/>
      <c r="C165" s="17"/>
      <c r="D165" s="17"/>
      <c r="E165" s="17"/>
      <c r="F165" s="17"/>
      <c r="G165" s="17"/>
      <c r="H165" s="17"/>
      <c r="M165" s="17"/>
    </row>
    <row r="166" spans="2:13" x14ac:dyDescent="0.25">
      <c r="B166" s="17"/>
      <c r="C166" s="17"/>
      <c r="D166" s="17"/>
      <c r="E166" s="17"/>
      <c r="F166" s="17"/>
      <c r="G166" s="17"/>
      <c r="H166" s="17"/>
      <c r="M166" s="17"/>
    </row>
    <row r="167" spans="2:13" x14ac:dyDescent="0.25">
      <c r="B167" s="17"/>
      <c r="C167" s="17"/>
      <c r="D167" s="17"/>
      <c r="E167" s="17"/>
      <c r="F167" s="17"/>
      <c r="G167" s="17"/>
      <c r="H167" s="17"/>
      <c r="M167" s="17"/>
    </row>
    <row r="168" spans="2:13" x14ac:dyDescent="0.25">
      <c r="B168" s="17"/>
      <c r="C168" s="17"/>
      <c r="D168" s="17"/>
      <c r="E168" s="17"/>
      <c r="F168" s="17"/>
      <c r="G168" s="17"/>
      <c r="H168" s="17"/>
      <c r="M168" s="17"/>
    </row>
    <row r="169" spans="2:13" x14ac:dyDescent="0.25">
      <c r="B169" s="17"/>
      <c r="C169" s="17"/>
      <c r="D169" s="17"/>
      <c r="E169" s="17"/>
      <c r="F169" s="17"/>
      <c r="G169" s="17"/>
      <c r="H169" s="17"/>
      <c r="M169" s="17"/>
    </row>
    <row r="170" spans="2:13" x14ac:dyDescent="0.25">
      <c r="B170" s="17"/>
      <c r="C170" s="17"/>
      <c r="D170" s="17"/>
      <c r="E170" s="17"/>
      <c r="F170" s="17"/>
      <c r="G170" s="17"/>
      <c r="H170" s="17"/>
      <c r="M170" s="17"/>
    </row>
    <row r="171" spans="2:13" x14ac:dyDescent="0.25">
      <c r="B171" s="17"/>
      <c r="C171" s="17"/>
      <c r="D171" s="17"/>
      <c r="E171" s="17"/>
      <c r="F171" s="17"/>
      <c r="G171" s="17"/>
      <c r="H171" s="17"/>
      <c r="M171" s="17"/>
    </row>
    <row r="172" spans="2:13" x14ac:dyDescent="0.25">
      <c r="B172" s="17"/>
      <c r="C172" s="17"/>
      <c r="D172" s="17"/>
      <c r="E172" s="17"/>
      <c r="F172" s="17"/>
      <c r="G172" s="17"/>
      <c r="H172" s="17"/>
      <c r="M172" s="17"/>
    </row>
    <row r="173" spans="2:13" x14ac:dyDescent="0.25">
      <c r="B173" s="17"/>
      <c r="C173" s="17"/>
      <c r="D173" s="17"/>
      <c r="E173" s="17"/>
      <c r="F173" s="17"/>
      <c r="G173" s="17"/>
      <c r="H173" s="17"/>
      <c r="M173" s="17"/>
    </row>
    <row r="174" spans="2:13" x14ac:dyDescent="0.25">
      <c r="B174" s="17"/>
      <c r="C174" s="17"/>
      <c r="D174" s="17"/>
      <c r="E174" s="17"/>
      <c r="F174" s="17"/>
      <c r="G174" s="17"/>
      <c r="H174" s="17"/>
      <c r="M174" s="17"/>
    </row>
    <row r="175" spans="2:13" x14ac:dyDescent="0.25">
      <c r="B175" s="17"/>
      <c r="C175" s="17"/>
      <c r="D175" s="17"/>
      <c r="E175" s="17"/>
      <c r="F175" s="17"/>
      <c r="G175" s="17"/>
      <c r="H175" s="17"/>
      <c r="M175" s="17"/>
    </row>
    <row r="176" spans="2:13" x14ac:dyDescent="0.25">
      <c r="B176" s="17"/>
      <c r="C176" s="17"/>
      <c r="D176" s="17"/>
      <c r="E176" s="17"/>
      <c r="F176" s="17"/>
      <c r="G176" s="17"/>
      <c r="H176" s="17"/>
      <c r="M176" s="17"/>
    </row>
    <row r="177" spans="2:13" x14ac:dyDescent="0.25">
      <c r="B177" s="17"/>
      <c r="C177" s="17"/>
      <c r="D177" s="17"/>
      <c r="E177" s="17"/>
      <c r="F177" s="17"/>
      <c r="G177" s="17"/>
      <c r="H177" s="17"/>
      <c r="M177" s="17"/>
    </row>
    <row r="178" spans="2:13" x14ac:dyDescent="0.25">
      <c r="B178" s="17"/>
      <c r="C178" s="17"/>
      <c r="D178" s="17"/>
      <c r="E178" s="17"/>
      <c r="F178" s="17"/>
      <c r="G178" s="17"/>
      <c r="H178" s="17"/>
      <c r="M178" s="17"/>
    </row>
    <row r="179" spans="2:13" x14ac:dyDescent="0.25">
      <c r="B179" s="17"/>
      <c r="C179" s="17"/>
      <c r="D179" s="17"/>
      <c r="E179" s="17"/>
      <c r="F179" s="17"/>
      <c r="G179" s="17"/>
      <c r="H179" s="17"/>
      <c r="M179" s="17"/>
    </row>
    <row r="180" spans="2:13" x14ac:dyDescent="0.25">
      <c r="B180" s="17"/>
      <c r="C180" s="17"/>
      <c r="D180" s="17"/>
      <c r="E180" s="17"/>
      <c r="F180" s="17"/>
      <c r="G180" s="17"/>
      <c r="H180" s="17"/>
      <c r="M180" s="17"/>
    </row>
    <row r="181" spans="2:13" x14ac:dyDescent="0.25">
      <c r="B181" s="17"/>
      <c r="C181" s="17"/>
      <c r="D181" s="17"/>
      <c r="E181" s="17"/>
      <c r="F181" s="17"/>
      <c r="G181" s="17"/>
      <c r="H181" s="17"/>
      <c r="M181" s="17"/>
    </row>
    <row r="182" spans="2:13" x14ac:dyDescent="0.25">
      <c r="B182" s="17"/>
      <c r="C182" s="17"/>
      <c r="D182" s="17"/>
      <c r="E182" s="17"/>
      <c r="F182" s="17"/>
      <c r="G182" s="17"/>
      <c r="H182" s="17"/>
      <c r="M182" s="17"/>
    </row>
    <row r="183" spans="2:13" x14ac:dyDescent="0.25">
      <c r="B183" s="17"/>
      <c r="C183" s="17"/>
      <c r="D183" s="17"/>
      <c r="E183" s="17"/>
      <c r="F183" s="17"/>
      <c r="G183" s="17"/>
      <c r="H183" s="17"/>
      <c r="M183" s="17"/>
    </row>
    <row r="184" spans="2:13" x14ac:dyDescent="0.25">
      <c r="B184" s="17"/>
      <c r="C184" s="17"/>
      <c r="D184" s="17"/>
      <c r="E184" s="17"/>
      <c r="F184" s="17"/>
      <c r="G184" s="17"/>
      <c r="H184" s="17"/>
      <c r="M184" s="17"/>
    </row>
    <row r="185" spans="2:13" x14ac:dyDescent="0.25">
      <c r="B185" s="17"/>
      <c r="C185" s="17"/>
      <c r="D185" s="17"/>
      <c r="E185" s="17"/>
      <c r="F185" s="17"/>
      <c r="G185" s="17"/>
      <c r="H185" s="17"/>
      <c r="M185" s="17"/>
    </row>
    <row r="186" spans="2:13" x14ac:dyDescent="0.25">
      <c r="B186" s="17"/>
      <c r="C186" s="17"/>
      <c r="D186" s="17"/>
      <c r="E186" s="17"/>
      <c r="F186" s="17"/>
      <c r="G186" s="17"/>
      <c r="H186" s="17"/>
      <c r="M186" s="17"/>
    </row>
    <row r="187" spans="2:13" x14ac:dyDescent="0.25">
      <c r="B187" s="17"/>
      <c r="C187" s="17"/>
      <c r="D187" s="17"/>
      <c r="E187" s="17"/>
      <c r="F187" s="17"/>
      <c r="G187" s="17"/>
      <c r="H187" s="17"/>
      <c r="M187" s="17"/>
    </row>
    <row r="188" spans="2:13" x14ac:dyDescent="0.25">
      <c r="B188" s="17"/>
      <c r="C188" s="17"/>
      <c r="D188" s="17"/>
      <c r="E188" s="17"/>
      <c r="F188" s="17"/>
      <c r="G188" s="17"/>
      <c r="H188" s="17"/>
      <c r="M188" s="17"/>
    </row>
    <row r="189" spans="2:13" x14ac:dyDescent="0.25">
      <c r="B189" s="17"/>
      <c r="C189" s="17"/>
      <c r="D189" s="17"/>
      <c r="E189" s="17"/>
      <c r="F189" s="17"/>
      <c r="G189" s="17"/>
      <c r="H189" s="17"/>
      <c r="M189" s="17"/>
    </row>
    <row r="190" spans="2:13" x14ac:dyDescent="0.25">
      <c r="B190" s="17"/>
      <c r="C190" s="17"/>
      <c r="D190" s="17"/>
      <c r="E190" s="17"/>
      <c r="F190" s="17"/>
      <c r="G190" s="17"/>
      <c r="H190" s="17"/>
      <c r="M190" s="17"/>
    </row>
    <row r="191" spans="2:13" x14ac:dyDescent="0.25">
      <c r="B191" s="17"/>
      <c r="C191" s="17"/>
      <c r="D191" s="17"/>
      <c r="E191" s="17"/>
      <c r="F191" s="17"/>
      <c r="G191" s="17"/>
      <c r="H191" s="17"/>
      <c r="M191" s="17"/>
    </row>
    <row r="192" spans="2:13" x14ac:dyDescent="0.25">
      <c r="B192" s="17"/>
      <c r="C192" s="17"/>
      <c r="D192" s="17"/>
      <c r="E192" s="17"/>
      <c r="F192" s="17"/>
      <c r="G192" s="17"/>
      <c r="H192" s="17"/>
      <c r="M192" s="17"/>
    </row>
    <row r="193" spans="2:13" x14ac:dyDescent="0.25">
      <c r="B193" s="17"/>
      <c r="C193" s="17"/>
      <c r="D193" s="17"/>
      <c r="E193" s="17"/>
      <c r="F193" s="17"/>
      <c r="G193" s="17"/>
      <c r="H193" s="17"/>
      <c r="M193" s="17"/>
    </row>
    <row r="194" spans="2:13" x14ac:dyDescent="0.25">
      <c r="B194" s="17"/>
      <c r="C194" s="17"/>
      <c r="D194" s="17"/>
      <c r="E194" s="17"/>
      <c r="F194" s="17"/>
      <c r="G194" s="17"/>
      <c r="H194" s="17"/>
      <c r="M194" s="17"/>
    </row>
    <row r="195" spans="2:13" x14ac:dyDescent="0.25">
      <c r="B195" s="17"/>
      <c r="C195" s="17"/>
      <c r="D195" s="17"/>
      <c r="E195" s="17"/>
      <c r="F195" s="17"/>
      <c r="G195" s="17"/>
      <c r="H195" s="17"/>
      <c r="M195" s="17"/>
    </row>
    <row r="196" spans="2:13" x14ac:dyDescent="0.25">
      <c r="B196" s="17"/>
      <c r="C196" s="17"/>
      <c r="D196" s="17"/>
      <c r="E196" s="17"/>
      <c r="F196" s="17"/>
      <c r="G196" s="17"/>
      <c r="H196" s="17"/>
      <c r="M196" s="17"/>
    </row>
    <row r="197" spans="2:13" x14ac:dyDescent="0.25">
      <c r="B197" s="17"/>
      <c r="C197" s="17"/>
      <c r="D197" s="17"/>
      <c r="E197" s="17"/>
      <c r="F197" s="17"/>
      <c r="G197" s="17"/>
      <c r="H197" s="17"/>
      <c r="M197" s="17"/>
    </row>
    <row r="198" spans="2:13" x14ac:dyDescent="0.25">
      <c r="B198" s="17"/>
      <c r="C198" s="17"/>
      <c r="D198" s="17"/>
      <c r="E198" s="17"/>
      <c r="F198" s="17"/>
      <c r="G198" s="17"/>
      <c r="H198" s="17"/>
      <c r="M198" s="17"/>
    </row>
    <row r="199" spans="2:13" x14ac:dyDescent="0.25">
      <c r="B199" s="17"/>
      <c r="C199" s="17"/>
      <c r="D199" s="17"/>
      <c r="E199" s="17"/>
      <c r="F199" s="17"/>
      <c r="G199" s="17"/>
      <c r="H199" s="17"/>
      <c r="M199" s="17"/>
    </row>
    <row r="200" spans="2:13" x14ac:dyDescent="0.25">
      <c r="B200" s="17"/>
      <c r="C200" s="17"/>
      <c r="D200" s="17"/>
      <c r="E200" s="17"/>
      <c r="F200" s="17"/>
      <c r="G200" s="17"/>
      <c r="H200" s="17"/>
      <c r="M200" s="17"/>
    </row>
    <row r="201" spans="2:13" x14ac:dyDescent="0.25">
      <c r="B201" s="17"/>
      <c r="C201" s="17"/>
      <c r="D201" s="17"/>
      <c r="E201" s="17"/>
      <c r="F201" s="17"/>
      <c r="G201" s="17"/>
      <c r="H201" s="17"/>
      <c r="M201" s="17"/>
    </row>
    <row r="202" spans="2:13" x14ac:dyDescent="0.25">
      <c r="B202" s="17"/>
      <c r="C202" s="17"/>
      <c r="D202" s="17"/>
      <c r="E202" s="17"/>
      <c r="F202" s="17"/>
      <c r="G202" s="17"/>
      <c r="H202" s="17"/>
      <c r="M202" s="17"/>
    </row>
    <row r="203" spans="2:13" x14ac:dyDescent="0.25">
      <c r="B203" s="17"/>
      <c r="C203" s="17"/>
      <c r="D203" s="17"/>
      <c r="E203" s="17"/>
      <c r="F203" s="17"/>
      <c r="G203" s="17"/>
      <c r="H203" s="17"/>
      <c r="M203" s="17"/>
    </row>
    <row r="204" spans="2:13" x14ac:dyDescent="0.25">
      <c r="B204" s="17"/>
      <c r="C204" s="17"/>
      <c r="D204" s="17"/>
      <c r="E204" s="17"/>
      <c r="F204" s="17"/>
      <c r="G204" s="17"/>
      <c r="H204" s="17"/>
      <c r="M204" s="17"/>
    </row>
    <row r="205" spans="2:13" x14ac:dyDescent="0.25">
      <c r="B205" s="17"/>
      <c r="C205" s="17"/>
      <c r="D205" s="17"/>
      <c r="E205" s="17"/>
      <c r="F205" s="17"/>
      <c r="G205" s="17"/>
      <c r="H205" s="17"/>
      <c r="M205" s="17"/>
    </row>
    <row r="206" spans="2:13" x14ac:dyDescent="0.25">
      <c r="B206" s="17"/>
      <c r="C206" s="17"/>
      <c r="D206" s="17"/>
      <c r="E206" s="17"/>
      <c r="F206" s="17"/>
      <c r="G206" s="17"/>
      <c r="H206" s="17"/>
      <c r="M206" s="17"/>
    </row>
    <row r="207" spans="2:13" x14ac:dyDescent="0.25">
      <c r="B207" s="17"/>
      <c r="C207" s="17"/>
      <c r="D207" s="17"/>
      <c r="E207" s="17"/>
      <c r="F207" s="17"/>
      <c r="G207" s="17"/>
      <c r="H207" s="17"/>
      <c r="M207" s="17"/>
    </row>
    <row r="208" spans="2:13" x14ac:dyDescent="0.25">
      <c r="B208" s="17"/>
      <c r="C208" s="17"/>
      <c r="D208" s="17"/>
      <c r="E208" s="17"/>
      <c r="F208" s="17"/>
      <c r="G208" s="17"/>
      <c r="H208" s="17"/>
      <c r="M208" s="17"/>
    </row>
    <row r="209" spans="2:13" x14ac:dyDescent="0.25">
      <c r="B209" s="17"/>
      <c r="C209" s="17"/>
      <c r="D209" s="17"/>
      <c r="E209" s="17"/>
      <c r="F209" s="17"/>
      <c r="G209" s="17"/>
      <c r="H209" s="17"/>
      <c r="M209" s="17"/>
    </row>
    <row r="210" spans="2:13" x14ac:dyDescent="0.25">
      <c r="B210" s="17"/>
      <c r="C210" s="17"/>
      <c r="D210" s="17"/>
      <c r="E210" s="17"/>
      <c r="F210" s="17"/>
      <c r="G210" s="17"/>
      <c r="H210" s="17"/>
      <c r="M210" s="17"/>
    </row>
    <row r="211" spans="2:13" x14ac:dyDescent="0.25">
      <c r="E211" s="17"/>
      <c r="F211" s="17"/>
      <c r="G211" s="17"/>
      <c r="H211" s="17"/>
      <c r="M211" s="17"/>
    </row>
    <row r="212" spans="2:13" x14ac:dyDescent="0.25">
      <c r="E212" s="17"/>
      <c r="F212" s="17"/>
      <c r="G212" s="17"/>
      <c r="H212" s="17"/>
      <c r="M212" s="17"/>
    </row>
    <row r="213" spans="2:13" x14ac:dyDescent="0.25">
      <c r="E213" s="17"/>
      <c r="F213" s="17"/>
      <c r="G213" s="17"/>
      <c r="H213" s="17"/>
      <c r="M213" s="17"/>
    </row>
    <row r="214" spans="2:13" x14ac:dyDescent="0.25">
      <c r="E214" s="17"/>
      <c r="F214" s="17"/>
      <c r="G214" s="17"/>
      <c r="H214" s="17"/>
      <c r="M214" s="17"/>
    </row>
    <row r="215" spans="2:13" x14ac:dyDescent="0.25">
      <c r="E215" s="17"/>
      <c r="F215" s="17"/>
      <c r="G215" s="17"/>
      <c r="H215" s="17"/>
      <c r="M215" s="17"/>
    </row>
    <row r="216" spans="2:13" x14ac:dyDescent="0.25">
      <c r="E216" s="17"/>
      <c r="F216" s="17"/>
      <c r="G216" s="17"/>
      <c r="H216" s="17"/>
      <c r="M216" s="17"/>
    </row>
    <row r="217" spans="2:13" x14ac:dyDescent="0.25">
      <c r="E217" s="17"/>
      <c r="F217" s="17"/>
      <c r="G217" s="17"/>
      <c r="H217" s="17"/>
      <c r="M217" s="17"/>
    </row>
    <row r="218" spans="2:13" x14ac:dyDescent="0.25">
      <c r="E218" s="17"/>
      <c r="F218" s="17"/>
      <c r="G218" s="17"/>
      <c r="H218" s="17"/>
      <c r="M218" s="17"/>
    </row>
    <row r="219" spans="2:13" x14ac:dyDescent="0.25">
      <c r="E219" s="17"/>
      <c r="F219" s="17"/>
      <c r="G219" s="17"/>
      <c r="H219" s="17"/>
      <c r="M219" s="17"/>
    </row>
    <row r="220" spans="2:13" x14ac:dyDescent="0.25">
      <c r="E220" s="17"/>
      <c r="F220" s="17"/>
      <c r="G220" s="17"/>
      <c r="H220" s="17"/>
      <c r="M220" s="17"/>
    </row>
    <row r="221" spans="2:13" x14ac:dyDescent="0.25">
      <c r="E221" s="17"/>
      <c r="F221" s="17"/>
      <c r="G221" s="17"/>
      <c r="H221" s="17"/>
      <c r="M221" s="17"/>
    </row>
    <row r="222" spans="2:13" x14ac:dyDescent="0.25">
      <c r="E222" s="17"/>
      <c r="F222" s="17"/>
      <c r="G222" s="17"/>
      <c r="H222" s="17"/>
      <c r="M222" s="17"/>
    </row>
    <row r="223" spans="2:13" x14ac:dyDescent="0.25">
      <c r="E223" s="17"/>
      <c r="F223" s="17"/>
      <c r="G223" s="17"/>
      <c r="H223" s="17"/>
      <c r="M223" s="17"/>
    </row>
    <row r="224" spans="2:13" x14ac:dyDescent="0.25">
      <c r="E224" s="17"/>
      <c r="F224" s="17"/>
      <c r="G224" s="17"/>
      <c r="H224" s="17"/>
      <c r="M224" s="17"/>
    </row>
    <row r="225" spans="5:13" x14ac:dyDescent="0.25">
      <c r="E225" s="17"/>
      <c r="F225" s="17"/>
      <c r="G225" s="17"/>
      <c r="H225" s="17"/>
      <c r="M225" s="17"/>
    </row>
    <row r="226" spans="5:13" x14ac:dyDescent="0.25">
      <c r="M226" s="17"/>
    </row>
    <row r="227" spans="5:13" x14ac:dyDescent="0.25">
      <c r="M227" s="17"/>
    </row>
    <row r="228" spans="5:13" x14ac:dyDescent="0.25">
      <c r="M228" s="17"/>
    </row>
    <row r="229" spans="5:13" x14ac:dyDescent="0.25">
      <c r="M229" s="17"/>
    </row>
    <row r="230" spans="5:13" x14ac:dyDescent="0.25">
      <c r="M230" s="17"/>
    </row>
    <row r="231" spans="5:13" x14ac:dyDescent="0.25">
      <c r="M231" s="17"/>
    </row>
    <row r="232" spans="5:13" x14ac:dyDescent="0.25">
      <c r="M232" s="17"/>
    </row>
    <row r="233" spans="5:13" x14ac:dyDescent="0.25">
      <c r="M233" s="17"/>
    </row>
    <row r="234" spans="5:13" x14ac:dyDescent="0.25">
      <c r="M234" s="17"/>
    </row>
    <row r="235" spans="5:13" x14ac:dyDescent="0.25">
      <c r="M235" s="17"/>
    </row>
    <row r="236" spans="5:13" x14ac:dyDescent="0.25">
      <c r="M236" s="17"/>
    </row>
    <row r="237" spans="5:13" x14ac:dyDescent="0.25">
      <c r="M237" s="17"/>
    </row>
    <row r="238" spans="5:13" x14ac:dyDescent="0.25">
      <c r="M238" s="17"/>
    </row>
    <row r="239" spans="5:13" x14ac:dyDescent="0.25">
      <c r="M239" s="17"/>
    </row>
    <row r="240" spans="5:13" x14ac:dyDescent="0.25">
      <c r="M240" s="17"/>
    </row>
    <row r="241" spans="13:13" x14ac:dyDescent="0.25">
      <c r="M241" s="17"/>
    </row>
    <row r="242" spans="13:13" x14ac:dyDescent="0.25">
      <c r="M242" s="17"/>
    </row>
    <row r="243" spans="13:13" x14ac:dyDescent="0.25">
      <c r="M243" s="17"/>
    </row>
    <row r="244" spans="13:13" x14ac:dyDescent="0.25">
      <c r="M244" s="17"/>
    </row>
    <row r="245" spans="13:13" x14ac:dyDescent="0.25">
      <c r="M245" s="17"/>
    </row>
    <row r="246" spans="13:13" x14ac:dyDescent="0.25">
      <c r="M246" s="17"/>
    </row>
    <row r="247" spans="13:13" x14ac:dyDescent="0.25">
      <c r="M247" s="17"/>
    </row>
    <row r="248" spans="13:13" x14ac:dyDescent="0.25">
      <c r="M248" s="17"/>
    </row>
    <row r="249" spans="13:13" x14ac:dyDescent="0.25">
      <c r="M249" s="17"/>
    </row>
    <row r="250" spans="13:13" x14ac:dyDescent="0.25">
      <c r="M250" s="17"/>
    </row>
    <row r="251" spans="13:13" x14ac:dyDescent="0.25">
      <c r="M251" s="17"/>
    </row>
  </sheetData>
  <mergeCells count="10">
    <mergeCell ref="E12:H12"/>
    <mergeCell ref="E46:H46"/>
    <mergeCell ref="A4:H4"/>
    <mergeCell ref="A5:H5"/>
    <mergeCell ref="A7:H7"/>
    <mergeCell ref="A9:H9"/>
    <mergeCell ref="A38:H38"/>
    <mergeCell ref="A39:H39"/>
    <mergeCell ref="A41:H41"/>
    <mergeCell ref="A43:H43"/>
  </mergeCells>
  <phoneticPr fontId="0" type="noConversion"/>
  <printOptions horizontalCentered="1"/>
  <pageMargins left="0.7" right="0.7" top="0.75" bottom="0.75" header="0.3" footer="0.3"/>
  <pageSetup scale="72" fitToHeight="2" orientation="portrait" r:id="rId1"/>
  <headerFooter alignWithMargins="0"/>
  <rowBreaks count="1" manualBreakCount="1">
    <brk id="34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235"/>
  <sheetViews>
    <sheetView view="pageBreakPreview" zoomScale="60" zoomScaleNormal="70" workbookViewId="0">
      <selection activeCell="C65" sqref="C65"/>
    </sheetView>
  </sheetViews>
  <sheetFormatPr defaultColWidth="12.81640625" defaultRowHeight="15" x14ac:dyDescent="0.25"/>
  <cols>
    <col min="1" max="1" width="19.08984375" style="8" customWidth="1"/>
    <col min="2" max="2" width="27.81640625" style="8" customWidth="1"/>
    <col min="3" max="3" width="14" style="8" bestFit="1" customWidth="1"/>
    <col min="4" max="4" width="19.08984375" style="8" customWidth="1"/>
    <col min="5" max="5" width="4.81640625" style="8" customWidth="1"/>
    <col min="6" max="6" width="6.81640625" style="8" customWidth="1"/>
    <col min="7" max="7" width="8.81640625" style="8" customWidth="1"/>
    <col min="8" max="8" width="10.90625" style="8" customWidth="1"/>
    <col min="9" max="9" width="11.54296875" style="8" bestFit="1" customWidth="1"/>
    <col min="10" max="10" width="12.81640625" style="8"/>
    <col min="11" max="11" width="12.453125" style="8" bestFit="1" customWidth="1"/>
    <col min="12" max="12" width="4.36328125" style="8" customWidth="1"/>
    <col min="13" max="13" width="5.81640625" style="8" hidden="1" customWidth="1"/>
    <col min="14" max="15" width="7.81640625" style="8" hidden="1" customWidth="1"/>
    <col min="16" max="16" width="0" style="8" hidden="1" customWidth="1"/>
    <col min="17" max="17" width="15.81640625" style="8" hidden="1" customWidth="1"/>
    <col min="18" max="18" width="5.81640625" style="8" hidden="1" customWidth="1"/>
    <col min="19" max="19" width="3.08984375" style="8" customWidth="1"/>
    <col min="20" max="20" width="3.90625" style="8" customWidth="1"/>
    <col min="21" max="21" width="5" style="8" customWidth="1"/>
    <col min="22" max="22" width="6.90625" style="8" customWidth="1"/>
    <col min="23" max="23" width="8.6328125" style="8" customWidth="1"/>
    <col min="24" max="24" width="10" style="37" customWidth="1"/>
    <col min="25" max="25" width="12.08984375" style="8" customWidth="1"/>
    <col min="26" max="27" width="12.81640625" style="8"/>
    <col min="28" max="29" width="4.1796875" style="8" bestFit="1" customWidth="1"/>
    <col min="30" max="30" width="3.90625" style="8" customWidth="1"/>
    <col min="31" max="16384" width="12.81640625" style="8"/>
  </cols>
  <sheetData>
    <row r="1" spans="1:30" ht="15.6" x14ac:dyDescent="0.3">
      <c r="T1" s="19" t="s">
        <v>302</v>
      </c>
      <c r="U1" s="55"/>
      <c r="V1" s="55"/>
      <c r="W1" s="55"/>
      <c r="X1" s="56"/>
      <c r="Y1" s="55"/>
      <c r="Z1" s="55"/>
      <c r="AA1" s="55"/>
      <c r="AB1" s="55"/>
      <c r="AC1" s="55"/>
      <c r="AD1" s="19" t="s">
        <v>302</v>
      </c>
    </row>
    <row r="2" spans="1:30" ht="15.6" x14ac:dyDescent="0.3">
      <c r="T2" s="19" t="s">
        <v>303</v>
      </c>
      <c r="U2" s="55"/>
      <c r="V2" s="55"/>
      <c r="W2" s="55"/>
      <c r="X2" s="56"/>
      <c r="Y2" s="55"/>
      <c r="Z2" s="55"/>
      <c r="AA2" s="55"/>
      <c r="AB2" s="55"/>
      <c r="AC2" s="55"/>
      <c r="AD2" s="19" t="s">
        <v>303</v>
      </c>
    </row>
    <row r="3" spans="1:30" ht="15.6" x14ac:dyDescent="0.3">
      <c r="T3" s="19" t="s">
        <v>310</v>
      </c>
      <c r="U3" s="55"/>
      <c r="V3" s="55"/>
      <c r="W3" s="55"/>
      <c r="X3" s="56"/>
      <c r="Y3" s="55"/>
      <c r="Z3" s="55"/>
      <c r="AA3" s="55"/>
      <c r="AB3" s="55"/>
      <c r="AC3" s="55"/>
      <c r="AD3" s="19" t="s">
        <v>311</v>
      </c>
    </row>
    <row r="4" spans="1:30" ht="15.6" x14ac:dyDescent="0.3">
      <c r="A4" s="55" t="s">
        <v>0</v>
      </c>
      <c r="B4" s="16"/>
      <c r="C4" s="16"/>
      <c r="D4" s="16"/>
      <c r="E4" s="16"/>
      <c r="F4" s="16"/>
      <c r="G4" s="16"/>
      <c r="H4" s="16"/>
      <c r="I4" s="16"/>
      <c r="T4" s="19"/>
      <c r="U4" s="55"/>
      <c r="V4" s="55"/>
      <c r="W4" s="55"/>
      <c r="X4" s="56"/>
      <c r="Y4" s="55"/>
      <c r="Z4" s="55"/>
      <c r="AA4" s="55"/>
      <c r="AB4" s="55"/>
      <c r="AC4" s="55"/>
      <c r="AD4" s="19"/>
    </row>
    <row r="5" spans="1:30" ht="15.6" x14ac:dyDescent="0.3">
      <c r="A5" s="55" t="s">
        <v>301</v>
      </c>
      <c r="B5" s="16"/>
      <c r="C5" s="16"/>
      <c r="D5" s="16"/>
      <c r="E5" s="16"/>
      <c r="F5" s="16"/>
      <c r="G5" s="16"/>
      <c r="H5" s="16"/>
      <c r="I5" s="16"/>
      <c r="T5" s="19"/>
      <c r="U5" s="55"/>
      <c r="V5" s="55"/>
      <c r="W5" s="55"/>
      <c r="X5" s="56"/>
      <c r="Y5" s="55"/>
      <c r="Z5" s="55"/>
      <c r="AA5" s="55"/>
      <c r="AB5" s="55"/>
      <c r="AC5" s="55"/>
      <c r="AD5" s="19"/>
    </row>
    <row r="6" spans="1:30" ht="15.6" x14ac:dyDescent="0.3">
      <c r="A6" s="55" t="s">
        <v>26</v>
      </c>
      <c r="B6" s="16"/>
      <c r="C6" s="16"/>
      <c r="D6" s="16"/>
      <c r="E6" s="16"/>
      <c r="F6" s="16"/>
      <c r="G6" s="16"/>
      <c r="H6" s="16"/>
      <c r="I6" s="16"/>
      <c r="T6" s="19"/>
      <c r="U6" s="55"/>
      <c r="V6" s="55"/>
      <c r="W6" s="55"/>
      <c r="X6" s="56"/>
      <c r="Y6" s="55"/>
      <c r="Z6" s="55"/>
      <c r="AA6" s="55"/>
      <c r="AB6" s="55"/>
      <c r="AC6" s="55"/>
      <c r="AD6" s="19"/>
    </row>
    <row r="7" spans="1:30" ht="15.6" x14ac:dyDescent="0.3">
      <c r="A7" s="4"/>
    </row>
    <row r="8" spans="1:30" ht="16.2" thickBot="1" x14ac:dyDescent="0.35">
      <c r="E8" s="63" t="s">
        <v>293</v>
      </c>
      <c r="F8" s="63"/>
      <c r="G8" s="63"/>
      <c r="H8" s="63"/>
      <c r="I8" s="63"/>
      <c r="J8" s="63"/>
      <c r="K8" s="63"/>
      <c r="M8" s="5" t="s">
        <v>27</v>
      </c>
      <c r="N8" s="5"/>
      <c r="O8" s="5"/>
      <c r="P8" s="5"/>
      <c r="Q8" s="5"/>
      <c r="U8" s="63" t="s">
        <v>307</v>
      </c>
      <c r="V8" s="63"/>
      <c r="W8" s="63"/>
      <c r="X8" s="63"/>
      <c r="Y8" s="63"/>
      <c r="Z8" s="63"/>
      <c r="AA8" s="63"/>
    </row>
    <row r="10" spans="1:30" x14ac:dyDescent="0.25">
      <c r="D10" s="18">
        <v>43830</v>
      </c>
    </row>
    <row r="11" spans="1:30" x14ac:dyDescent="0.25">
      <c r="D11" s="9" t="s">
        <v>2</v>
      </c>
      <c r="K11" s="9" t="s">
        <v>3</v>
      </c>
      <c r="Q11" s="9" t="s">
        <v>28</v>
      </c>
      <c r="AA11" s="9" t="s">
        <v>3</v>
      </c>
    </row>
    <row r="12" spans="1:30" x14ac:dyDescent="0.25">
      <c r="C12" s="9" t="s">
        <v>4</v>
      </c>
      <c r="D12" s="9" t="s">
        <v>5</v>
      </c>
      <c r="F12" s="9" t="s">
        <v>29</v>
      </c>
      <c r="G12" s="9" t="s">
        <v>30</v>
      </c>
      <c r="H12" s="9" t="s">
        <v>31</v>
      </c>
      <c r="I12" s="9" t="s">
        <v>6</v>
      </c>
      <c r="J12" s="9" t="s">
        <v>7</v>
      </c>
      <c r="K12" s="9" t="s">
        <v>8</v>
      </c>
      <c r="N12" s="9" t="s">
        <v>29</v>
      </c>
      <c r="O12" s="9" t="s">
        <v>30</v>
      </c>
      <c r="P12" s="9" t="s">
        <v>31</v>
      </c>
      <c r="Q12" s="9" t="s">
        <v>32</v>
      </c>
      <c r="V12" s="9" t="s">
        <v>29</v>
      </c>
      <c r="W12" s="9" t="s">
        <v>30</v>
      </c>
      <c r="X12" s="37" t="s">
        <v>31</v>
      </c>
      <c r="Y12" s="9" t="s">
        <v>6</v>
      </c>
      <c r="Z12" s="9" t="s">
        <v>7</v>
      </c>
      <c r="AA12" s="9" t="s">
        <v>8</v>
      </c>
    </row>
    <row r="13" spans="1:30" x14ac:dyDescent="0.25">
      <c r="A13" s="6" t="s">
        <v>33</v>
      </c>
      <c r="B13" s="6" t="s">
        <v>34</v>
      </c>
      <c r="C13" s="6" t="s">
        <v>294</v>
      </c>
      <c r="D13" s="6" t="s">
        <v>9</v>
      </c>
      <c r="E13" s="6" t="s">
        <v>35</v>
      </c>
      <c r="F13" s="6" t="s">
        <v>36</v>
      </c>
      <c r="G13" s="6" t="s">
        <v>37</v>
      </c>
      <c r="H13" s="6" t="s">
        <v>38</v>
      </c>
      <c r="I13" s="6" t="s">
        <v>10</v>
      </c>
      <c r="J13" s="6" t="s">
        <v>11</v>
      </c>
      <c r="K13" s="6" t="s">
        <v>11</v>
      </c>
      <c r="L13" s="7"/>
      <c r="M13" s="6" t="s">
        <v>35</v>
      </c>
      <c r="N13" s="6" t="s">
        <v>36</v>
      </c>
      <c r="O13" s="6" t="s">
        <v>37</v>
      </c>
      <c r="P13" s="6" t="s">
        <v>39</v>
      </c>
      <c r="Q13" s="6" t="s">
        <v>40</v>
      </c>
      <c r="R13" s="7"/>
      <c r="U13" s="6" t="s">
        <v>35</v>
      </c>
      <c r="V13" s="6" t="s">
        <v>36</v>
      </c>
      <c r="W13" s="6" t="s">
        <v>37</v>
      </c>
      <c r="X13" s="11" t="s">
        <v>41</v>
      </c>
      <c r="Y13" s="6" t="s">
        <v>10</v>
      </c>
      <c r="Z13" s="6" t="s">
        <v>11</v>
      </c>
      <c r="AA13" s="6" t="s">
        <v>11</v>
      </c>
    </row>
    <row r="14" spans="1:30" x14ac:dyDescent="0.25">
      <c r="Z14" s="17"/>
    </row>
    <row r="15" spans="1:30" ht="15.6" x14ac:dyDescent="0.3">
      <c r="A15" s="4" t="s">
        <v>42</v>
      </c>
      <c r="H15" s="10"/>
      <c r="W15" s="9"/>
      <c r="Z15" s="17"/>
    </row>
    <row r="16" spans="1:30" x14ac:dyDescent="0.25">
      <c r="A16" s="9" t="s">
        <v>43</v>
      </c>
      <c r="B16" s="8" t="s">
        <v>44</v>
      </c>
      <c r="C16" s="17">
        <v>3386804.82</v>
      </c>
      <c r="D16" s="17">
        <v>1258776</v>
      </c>
      <c r="E16" s="8">
        <v>85</v>
      </c>
      <c r="F16" s="9" t="s">
        <v>53</v>
      </c>
      <c r="G16" s="9">
        <v>-40</v>
      </c>
      <c r="H16" s="12">
        <v>1.6500000000000001E-2</v>
      </c>
      <c r="I16" s="17">
        <f>ROUND((C16*H16),0)</f>
        <v>55882</v>
      </c>
      <c r="J16" s="17">
        <v>945432.92</v>
      </c>
      <c r="K16" s="17">
        <f>D16-J16</f>
        <v>313343.07999999996</v>
      </c>
      <c r="Q16" s="17">
        <f>ROUND((C16*P16),0)</f>
        <v>0</v>
      </c>
      <c r="U16" s="8">
        <v>90</v>
      </c>
      <c r="V16" s="9" t="s">
        <v>91</v>
      </c>
      <c r="W16" s="9">
        <v>-50</v>
      </c>
      <c r="X16" s="37">
        <v>1.664990039930905E-2</v>
      </c>
      <c r="Y16" s="17">
        <f>C16*X16</f>
        <v>56389.96292489981</v>
      </c>
      <c r="Z16" s="17">
        <v>1048405</v>
      </c>
      <c r="AA16" s="17">
        <f>D16-Z16</f>
        <v>210371</v>
      </c>
    </row>
    <row r="17" spans="1:27" x14ac:dyDescent="0.25">
      <c r="F17" s="9"/>
      <c r="H17" s="10"/>
      <c r="I17" s="17"/>
      <c r="J17" s="17"/>
      <c r="K17" s="17"/>
      <c r="Q17" s="17"/>
      <c r="W17" s="9"/>
      <c r="Y17" s="17"/>
      <c r="Z17" s="17"/>
    </row>
    <row r="18" spans="1:27" x14ac:dyDescent="0.25">
      <c r="A18" s="9" t="s">
        <v>46</v>
      </c>
      <c r="B18" s="8" t="s">
        <v>47</v>
      </c>
      <c r="C18" s="17">
        <v>22456084</v>
      </c>
      <c r="D18" s="17">
        <v>10015199</v>
      </c>
      <c r="E18" s="8">
        <v>85</v>
      </c>
      <c r="F18" s="9" t="s">
        <v>63</v>
      </c>
      <c r="G18" s="9">
        <v>-40</v>
      </c>
      <c r="H18" s="12">
        <v>1.6500000000000001E-2</v>
      </c>
      <c r="I18" s="17">
        <f>ROUND((C18*H18),0)</f>
        <v>370525</v>
      </c>
      <c r="J18" s="17">
        <v>8101623.9699999997</v>
      </c>
      <c r="K18" s="17">
        <f>D18-J18</f>
        <v>1913575.0300000003</v>
      </c>
      <c r="P18" s="10"/>
      <c r="Q18" s="17">
        <f>ROUND((C18*P18),0)</f>
        <v>0</v>
      </c>
      <c r="U18" s="8">
        <v>90</v>
      </c>
      <c r="V18" s="9" t="s">
        <v>45</v>
      </c>
      <c r="W18" s="9">
        <v>-60</v>
      </c>
      <c r="X18" s="37">
        <v>1.7759997691494209E-2</v>
      </c>
      <c r="Y18" s="17">
        <f t="shared" ref="Y18:Y26" si="0">C18*X18</f>
        <v>398820.00000000006</v>
      </c>
      <c r="Z18" s="17">
        <v>8532190</v>
      </c>
      <c r="AA18" s="17">
        <f>D18-Z18</f>
        <v>1483009</v>
      </c>
    </row>
    <row r="19" spans="1:27" x14ac:dyDescent="0.25">
      <c r="C19" s="17"/>
      <c r="D19" s="17"/>
      <c r="G19" s="9"/>
      <c r="H19" s="12"/>
      <c r="I19" s="17"/>
      <c r="J19" s="17"/>
      <c r="K19" s="17"/>
      <c r="Q19" s="17"/>
      <c r="W19" s="9"/>
      <c r="Y19" s="17"/>
      <c r="Z19" s="17"/>
    </row>
    <row r="20" spans="1:27" x14ac:dyDescent="0.25">
      <c r="A20" s="9" t="s">
        <v>49</v>
      </c>
      <c r="B20" s="8" t="s">
        <v>50</v>
      </c>
      <c r="C20" s="17">
        <v>10671462.35</v>
      </c>
      <c r="D20" s="17">
        <v>4530608</v>
      </c>
      <c r="E20" s="8">
        <v>75</v>
      </c>
      <c r="F20" s="9" t="s">
        <v>70</v>
      </c>
      <c r="G20" s="9">
        <v>-55</v>
      </c>
      <c r="H20" s="12">
        <v>2.07E-2</v>
      </c>
      <c r="I20" s="17">
        <f>ROUND((C20*H20),0)</f>
        <v>220899</v>
      </c>
      <c r="J20" s="17">
        <v>3304841.37</v>
      </c>
      <c r="K20" s="17">
        <f>D20-J20</f>
        <v>1225766.6299999999</v>
      </c>
      <c r="P20" s="10"/>
      <c r="Q20" s="17">
        <f>ROUND((C20*P20),0)</f>
        <v>0</v>
      </c>
      <c r="U20" s="8">
        <v>75</v>
      </c>
      <c r="V20" s="9" t="s">
        <v>70</v>
      </c>
      <c r="W20" s="9">
        <v>-75</v>
      </c>
      <c r="X20" s="37">
        <v>2.3274960410304663E-2</v>
      </c>
      <c r="Y20" s="17">
        <f t="shared" si="0"/>
        <v>248377.86371630675</v>
      </c>
      <c r="Z20" s="17">
        <v>3731404</v>
      </c>
      <c r="AA20" s="17">
        <f>D20-Z20</f>
        <v>799204</v>
      </c>
    </row>
    <row r="21" spans="1:27" x14ac:dyDescent="0.25">
      <c r="C21" s="17"/>
      <c r="D21" s="17"/>
      <c r="G21" s="9"/>
      <c r="H21" s="12"/>
      <c r="I21" s="17"/>
      <c r="J21" s="17"/>
      <c r="K21" s="17"/>
      <c r="P21" s="10"/>
      <c r="Q21" s="17"/>
      <c r="W21" s="9"/>
      <c r="Y21" s="17"/>
      <c r="Z21" s="17"/>
    </row>
    <row r="22" spans="1:27" x14ac:dyDescent="0.25">
      <c r="A22" s="9" t="s">
        <v>51</v>
      </c>
      <c r="B22" s="8" t="s">
        <v>52</v>
      </c>
      <c r="C22" s="17">
        <v>1710973.65</v>
      </c>
      <c r="D22" s="17">
        <v>771304</v>
      </c>
      <c r="E22" s="8">
        <v>55</v>
      </c>
      <c r="F22" s="9" t="s">
        <v>53</v>
      </c>
      <c r="G22" s="9">
        <v>-55</v>
      </c>
      <c r="H22" s="12">
        <v>2.8199999999999999E-2</v>
      </c>
      <c r="I22" s="17">
        <f>ROUND((C22*H22),0)</f>
        <v>48249</v>
      </c>
      <c r="J22" s="17">
        <v>956661.21</v>
      </c>
      <c r="K22" s="17">
        <f>D22-J22</f>
        <v>-185357.20999999996</v>
      </c>
      <c r="P22" s="10"/>
      <c r="Q22" s="17">
        <f>ROUND((C22*P22),0)</f>
        <v>0</v>
      </c>
      <c r="U22" s="8">
        <v>60</v>
      </c>
      <c r="V22" s="9" t="s">
        <v>91</v>
      </c>
      <c r="W22" s="9">
        <v>-60</v>
      </c>
      <c r="X22" s="37">
        <v>2.6720024104426462E-2</v>
      </c>
      <c r="Y22" s="17">
        <f t="shared" si="0"/>
        <v>45717.257170038523</v>
      </c>
      <c r="Z22" s="17">
        <v>981959</v>
      </c>
      <c r="AA22" s="17">
        <f>D22-Z22</f>
        <v>-210655</v>
      </c>
    </row>
    <row r="23" spans="1:27" x14ac:dyDescent="0.25">
      <c r="C23" s="17"/>
      <c r="D23" s="17"/>
      <c r="G23" s="9"/>
      <c r="H23" s="12"/>
      <c r="I23" s="17"/>
      <c r="J23" s="17"/>
      <c r="K23" s="17"/>
      <c r="P23" s="10"/>
      <c r="Q23" s="17"/>
      <c r="W23" s="9"/>
      <c r="Y23" s="17"/>
      <c r="Z23" s="17"/>
    </row>
    <row r="24" spans="1:27" x14ac:dyDescent="0.25">
      <c r="A24" s="9" t="s">
        <v>54</v>
      </c>
      <c r="B24" s="8" t="s">
        <v>55</v>
      </c>
      <c r="C24" s="17">
        <v>139931</v>
      </c>
      <c r="D24" s="17">
        <v>123122</v>
      </c>
      <c r="E24" s="8">
        <v>45</v>
      </c>
      <c r="F24" s="9" t="s">
        <v>85</v>
      </c>
      <c r="G24" s="9">
        <v>-25</v>
      </c>
      <c r="H24" s="12">
        <v>2.7799999999999998E-2</v>
      </c>
      <c r="I24" s="17">
        <f>ROUND((C24*H24),0)</f>
        <v>3890</v>
      </c>
      <c r="J24" s="17">
        <v>83299.06</v>
      </c>
      <c r="K24" s="17">
        <f>D24-J24</f>
        <v>39822.94</v>
      </c>
      <c r="P24" s="10"/>
      <c r="Q24" s="17">
        <f>ROUND((C24*P24),0)</f>
        <v>0</v>
      </c>
      <c r="U24" s="8">
        <v>45</v>
      </c>
      <c r="V24" s="9" t="s">
        <v>70</v>
      </c>
      <c r="W24" s="9">
        <v>-15</v>
      </c>
      <c r="X24" s="37">
        <v>2.5225519119482582E-2</v>
      </c>
      <c r="Y24" s="20">
        <f t="shared" si="0"/>
        <v>3529.8321159083171</v>
      </c>
      <c r="Z24" s="17">
        <v>94163</v>
      </c>
      <c r="AA24" s="17">
        <f>D24-Z24</f>
        <v>28959</v>
      </c>
    </row>
    <row r="25" spans="1:27" x14ac:dyDescent="0.25">
      <c r="C25" s="29"/>
      <c r="D25" s="29"/>
      <c r="E25" s="29"/>
      <c r="F25" s="29"/>
      <c r="G25" s="29"/>
      <c r="H25" s="13"/>
      <c r="I25" s="29"/>
      <c r="J25" s="29"/>
      <c r="K25" s="29"/>
      <c r="P25" s="10"/>
      <c r="Q25" s="17"/>
      <c r="U25" s="29"/>
      <c r="V25" s="29"/>
      <c r="W25" s="38"/>
      <c r="X25" s="39"/>
      <c r="Y25" s="17"/>
      <c r="Z25" s="29"/>
      <c r="AA25" s="29"/>
    </row>
    <row r="26" spans="1:27" ht="15.6" x14ac:dyDescent="0.3">
      <c r="B26" s="4" t="s">
        <v>57</v>
      </c>
      <c r="C26" s="17">
        <f>SUM(C16:C24)</f>
        <v>38365255.82</v>
      </c>
      <c r="D26" s="17">
        <f>SUM(D16:D24)</f>
        <v>16699009</v>
      </c>
      <c r="F26" s="9"/>
      <c r="H26" s="12">
        <f>ROUND((I26/C26),4)</f>
        <v>1.8200000000000001E-2</v>
      </c>
      <c r="I26" s="17">
        <f>SUM(I16:I24)</f>
        <v>699445</v>
      </c>
      <c r="J26" s="17">
        <f>SUM(J16:J24)</f>
        <v>13391858.530000003</v>
      </c>
      <c r="K26" s="17">
        <f>SUM(K16:K24)</f>
        <v>3307150.47</v>
      </c>
      <c r="P26" s="10"/>
      <c r="Q26" s="17">
        <f>SUM(Q16:Q24)</f>
        <v>0</v>
      </c>
      <c r="W26" s="9"/>
      <c r="X26" s="37">
        <v>1.9377999999999999E-2</v>
      </c>
      <c r="Y26" s="17">
        <f t="shared" si="0"/>
        <v>743441.92727996001</v>
      </c>
      <c r="Z26" s="17">
        <f>SUM(Z16:Z24)</f>
        <v>14388121</v>
      </c>
      <c r="AA26" s="17">
        <f>SUM(AA16:AA24)</f>
        <v>2310888</v>
      </c>
    </row>
    <row r="27" spans="1:27" ht="15.6" x14ac:dyDescent="0.3">
      <c r="B27" s="4"/>
      <c r="C27" s="17"/>
      <c r="D27" s="17"/>
      <c r="F27" s="9"/>
      <c r="H27" s="10"/>
      <c r="I27" s="17"/>
      <c r="J27" s="17"/>
      <c r="K27" s="17"/>
      <c r="P27" s="10"/>
      <c r="Q27" s="17"/>
      <c r="W27" s="9"/>
      <c r="Y27" s="17"/>
      <c r="Z27" s="17"/>
    </row>
    <row r="28" spans="1:27" ht="15.6" x14ac:dyDescent="0.3">
      <c r="A28" s="4" t="s">
        <v>58</v>
      </c>
      <c r="C28" s="17"/>
      <c r="D28" s="17"/>
      <c r="F28" s="9"/>
      <c r="H28" s="10"/>
      <c r="I28" s="17"/>
      <c r="J28" s="17"/>
      <c r="K28" s="17"/>
      <c r="P28" s="10"/>
      <c r="Q28" s="17"/>
      <c r="W28" s="9"/>
      <c r="Y28" s="17"/>
      <c r="Z28" s="17"/>
    </row>
    <row r="29" spans="1:27" ht="15.6" x14ac:dyDescent="0.3">
      <c r="A29" s="4"/>
      <c r="C29" s="17"/>
      <c r="D29" s="17"/>
      <c r="F29" s="9"/>
      <c r="H29" s="10"/>
      <c r="I29" s="17"/>
      <c r="J29" s="17"/>
      <c r="K29" s="17"/>
      <c r="P29" s="10"/>
      <c r="Q29" s="17"/>
      <c r="W29" s="9"/>
      <c r="Y29" s="17"/>
      <c r="Z29" s="17"/>
    </row>
    <row r="30" spans="1:27" x14ac:dyDescent="0.25">
      <c r="A30" s="9" t="s">
        <v>59</v>
      </c>
      <c r="B30" s="8" t="s">
        <v>60</v>
      </c>
      <c r="C30" s="17">
        <v>445828.3</v>
      </c>
      <c r="D30" s="17">
        <v>366134</v>
      </c>
      <c r="E30" s="8">
        <v>50</v>
      </c>
      <c r="F30" s="9" t="s">
        <v>48</v>
      </c>
      <c r="G30" s="9">
        <v>-10</v>
      </c>
      <c r="H30" s="12">
        <v>2.1999999999999999E-2</v>
      </c>
      <c r="I30" s="17">
        <f>ROUND((C30*H30),0)</f>
        <v>9808</v>
      </c>
      <c r="J30" s="17">
        <v>328019.98</v>
      </c>
      <c r="K30" s="17">
        <f>D30-J30</f>
        <v>38114.020000000019</v>
      </c>
      <c r="P30" s="10"/>
      <c r="Q30" s="17">
        <f>ROUND((C30*P30),0)</f>
        <v>0</v>
      </c>
      <c r="U30" s="8">
        <v>55</v>
      </c>
      <c r="V30" s="9" t="s">
        <v>48</v>
      </c>
      <c r="W30" s="9">
        <v>-5</v>
      </c>
      <c r="X30" s="37">
        <v>1.9109049329021945E-2</v>
      </c>
      <c r="Y30" s="17">
        <f>C30*X30</f>
        <v>8519.3549769739948</v>
      </c>
      <c r="Z30" s="17">
        <v>292419</v>
      </c>
      <c r="AA30" s="17">
        <f>D30-Z30</f>
        <v>73715</v>
      </c>
    </row>
    <row r="31" spans="1:27" ht="15.6" x14ac:dyDescent="0.3">
      <c r="A31" s="4"/>
      <c r="C31" s="17"/>
      <c r="D31" s="17"/>
      <c r="F31" s="9"/>
      <c r="H31" s="12"/>
      <c r="I31" s="17"/>
      <c r="J31" s="17"/>
      <c r="K31" s="17"/>
      <c r="P31" s="10"/>
      <c r="Q31" s="17"/>
      <c r="W31" s="9"/>
      <c r="Y31" s="17"/>
      <c r="Z31" s="17"/>
    </row>
    <row r="32" spans="1:27" x14ac:dyDescent="0.25">
      <c r="A32" s="9" t="s">
        <v>61</v>
      </c>
      <c r="B32" s="8" t="s">
        <v>62</v>
      </c>
      <c r="C32" s="17">
        <v>859956.24</v>
      </c>
      <c r="D32" s="17">
        <v>445677</v>
      </c>
      <c r="E32" s="8">
        <v>45</v>
      </c>
      <c r="F32" s="9" t="s">
        <v>217</v>
      </c>
      <c r="G32" s="9">
        <v>-5</v>
      </c>
      <c r="H32" s="12">
        <v>2.3333E-2</v>
      </c>
      <c r="I32" s="17">
        <f>ROUND((C32*H32),0)</f>
        <v>20065</v>
      </c>
      <c r="J32" s="17">
        <v>394746.1</v>
      </c>
      <c r="K32" s="17">
        <f>D32-J32</f>
        <v>50930.900000000023</v>
      </c>
      <c r="P32" s="10"/>
      <c r="Q32" s="17">
        <f>ROUND((C32*P32),0)</f>
        <v>0</v>
      </c>
      <c r="U32" s="8">
        <v>50</v>
      </c>
      <c r="V32" s="9" t="s">
        <v>217</v>
      </c>
      <c r="W32" s="9">
        <v>-20</v>
      </c>
      <c r="X32" s="37">
        <v>2.4000158869714197E-2</v>
      </c>
      <c r="Y32" s="17">
        <f t="shared" ref="Y32:Y42" si="1">C32*X32</f>
        <v>20639.086381002071</v>
      </c>
      <c r="Z32" s="17">
        <v>419881</v>
      </c>
      <c r="AA32" s="17">
        <f>D32-Z32</f>
        <v>25796</v>
      </c>
    </row>
    <row r="33" spans="1:27" x14ac:dyDescent="0.25">
      <c r="A33" s="9"/>
      <c r="C33" s="17"/>
      <c r="D33" s="17"/>
      <c r="F33" s="9"/>
      <c r="G33" s="9"/>
      <c r="H33" s="12"/>
      <c r="I33" s="17"/>
      <c r="J33" s="17"/>
      <c r="K33" s="17"/>
      <c r="P33" s="10"/>
      <c r="Q33" s="17"/>
      <c r="V33" s="9"/>
      <c r="W33" s="9"/>
      <c r="Y33" s="17"/>
      <c r="Z33" s="17"/>
      <c r="AA33" s="17"/>
    </row>
    <row r="34" spans="1:27" x14ac:dyDescent="0.25">
      <c r="A34" s="9" t="s">
        <v>64</v>
      </c>
      <c r="B34" s="8" t="s">
        <v>65</v>
      </c>
      <c r="C34" s="17">
        <v>1438692</v>
      </c>
      <c r="D34" s="17">
        <v>814964</v>
      </c>
      <c r="E34" s="8">
        <v>25</v>
      </c>
      <c r="F34" s="9" t="s">
        <v>217</v>
      </c>
      <c r="G34" s="9">
        <v>-10</v>
      </c>
      <c r="H34" s="12">
        <v>4.3999999999999997E-2</v>
      </c>
      <c r="I34" s="17">
        <f>ROUND((C34*H34),0)</f>
        <v>63302</v>
      </c>
      <c r="J34" s="17">
        <v>982773.88</v>
      </c>
      <c r="K34" s="17">
        <f>D34-J34</f>
        <v>-167809.88</v>
      </c>
      <c r="P34" s="10"/>
      <c r="Q34" s="17">
        <f>ROUND((C34*P34),0)</f>
        <v>0</v>
      </c>
      <c r="U34" s="8">
        <v>25</v>
      </c>
      <c r="V34" s="9" t="s">
        <v>48</v>
      </c>
      <c r="W34" s="9">
        <v>-10</v>
      </c>
      <c r="X34" s="37">
        <v>4.3999688606039374E-2</v>
      </c>
      <c r="Y34" s="17">
        <f t="shared" si="1"/>
        <v>63302</v>
      </c>
      <c r="Z34" s="17">
        <v>941673</v>
      </c>
      <c r="AA34" s="17">
        <f>D34-Z34</f>
        <v>-126709</v>
      </c>
    </row>
    <row r="35" spans="1:27" x14ac:dyDescent="0.25">
      <c r="A35" s="9"/>
      <c r="C35" s="17"/>
      <c r="D35" s="17"/>
      <c r="F35" s="9"/>
      <c r="G35" s="9"/>
      <c r="H35" s="12"/>
      <c r="I35" s="17"/>
      <c r="J35" s="17"/>
      <c r="K35" s="17"/>
      <c r="P35" s="10"/>
      <c r="Q35" s="17"/>
      <c r="V35" s="9"/>
      <c r="W35" s="9"/>
      <c r="Y35" s="17"/>
      <c r="Z35" s="17"/>
      <c r="AA35" s="17"/>
    </row>
    <row r="36" spans="1:27" x14ac:dyDescent="0.25">
      <c r="A36" s="9" t="s">
        <v>66</v>
      </c>
      <c r="B36" s="8" t="s">
        <v>67</v>
      </c>
      <c r="C36" s="17">
        <v>872355</v>
      </c>
      <c r="D36" s="17">
        <v>756053</v>
      </c>
      <c r="E36" s="8">
        <v>40</v>
      </c>
      <c r="F36" s="9" t="s">
        <v>80</v>
      </c>
      <c r="G36" s="9">
        <v>-10</v>
      </c>
      <c r="H36" s="12">
        <v>2.75E-2</v>
      </c>
      <c r="I36" s="17">
        <f>ROUND((C36*H36),0)</f>
        <v>23990</v>
      </c>
      <c r="J36" s="17">
        <v>548251.88</v>
      </c>
      <c r="K36" s="17">
        <f>D36-J36</f>
        <v>207801.12</v>
      </c>
      <c r="P36" s="10"/>
      <c r="Q36" s="17">
        <f>ROUND((C36*P36),0)</f>
        <v>0</v>
      </c>
      <c r="U36" s="8">
        <v>40</v>
      </c>
      <c r="V36" s="9" t="s">
        <v>216</v>
      </c>
      <c r="W36" s="9">
        <v>-15</v>
      </c>
      <c r="X36" s="37">
        <v>2.8749763571023264E-2</v>
      </c>
      <c r="Y36" s="17">
        <f t="shared" si="1"/>
        <v>25080</v>
      </c>
      <c r="Z36" s="17">
        <v>590827</v>
      </c>
      <c r="AA36" s="17">
        <f>D36-Z36</f>
        <v>165226</v>
      </c>
    </row>
    <row r="37" spans="1:27" ht="15.6" x14ac:dyDescent="0.3">
      <c r="A37" s="4"/>
      <c r="C37" s="17"/>
      <c r="D37" s="17"/>
      <c r="F37" s="9"/>
      <c r="H37" s="12"/>
      <c r="I37" s="17"/>
      <c r="J37" s="17"/>
      <c r="K37" s="17"/>
      <c r="P37" s="10"/>
      <c r="Q37" s="17"/>
      <c r="W37" s="9"/>
      <c r="Y37" s="17"/>
      <c r="Z37" s="17"/>
    </row>
    <row r="38" spans="1:27" x14ac:dyDescent="0.25">
      <c r="A38" s="9" t="s">
        <v>68</v>
      </c>
      <c r="B38" s="8" t="s">
        <v>69</v>
      </c>
      <c r="C38" s="17">
        <v>508232.65</v>
      </c>
      <c r="D38" s="17">
        <v>329335</v>
      </c>
      <c r="E38" s="8">
        <v>40</v>
      </c>
      <c r="F38" s="9" t="s">
        <v>91</v>
      </c>
      <c r="G38" s="9">
        <v>-15</v>
      </c>
      <c r="H38" s="12">
        <v>2.8799999999999999E-2</v>
      </c>
      <c r="I38" s="17">
        <f>ROUND((C38*H38),0)</f>
        <v>14637</v>
      </c>
      <c r="J38" s="17">
        <v>256930.78</v>
      </c>
      <c r="K38" s="17">
        <f>D38-J38</f>
        <v>72404.22</v>
      </c>
      <c r="P38" s="10"/>
      <c r="Q38" s="17">
        <f>ROUND((C38*P38),0)</f>
        <v>0</v>
      </c>
      <c r="U38" s="8">
        <v>35</v>
      </c>
      <c r="V38" s="9" t="s">
        <v>70</v>
      </c>
      <c r="W38" s="9">
        <v>-20</v>
      </c>
      <c r="X38" s="37">
        <v>3.4320802930345985E-2</v>
      </c>
      <c r="Y38" s="17">
        <f t="shared" si="1"/>
        <v>17442.952623417506</v>
      </c>
      <c r="Z38" s="17">
        <v>308734</v>
      </c>
      <c r="AA38" s="17">
        <f>D38-Z38</f>
        <v>20601</v>
      </c>
    </row>
    <row r="39" spans="1:27" x14ac:dyDescent="0.25">
      <c r="A39" s="9"/>
      <c r="C39" s="17"/>
      <c r="D39" s="17"/>
      <c r="F39" s="9"/>
      <c r="G39" s="9"/>
      <c r="H39" s="12"/>
      <c r="I39" s="17"/>
      <c r="J39" s="17"/>
      <c r="K39" s="17"/>
      <c r="P39" s="10"/>
      <c r="Q39" s="17"/>
      <c r="V39" s="9"/>
      <c r="W39" s="9"/>
      <c r="Y39" s="17"/>
      <c r="Z39" s="17"/>
      <c r="AA39" s="17"/>
    </row>
    <row r="40" spans="1:27" x14ac:dyDescent="0.25">
      <c r="A40" s="9" t="s">
        <v>71</v>
      </c>
      <c r="B40" s="8" t="s">
        <v>72</v>
      </c>
      <c r="C40" s="17">
        <v>42756</v>
      </c>
      <c r="D40" s="17">
        <v>27984</v>
      </c>
      <c r="E40" s="8">
        <v>35</v>
      </c>
      <c r="F40" s="9" t="s">
        <v>70</v>
      </c>
      <c r="G40" s="9">
        <v>0</v>
      </c>
      <c r="H40" s="12">
        <v>2.86E-2</v>
      </c>
      <c r="I40" s="17">
        <f>ROUND((C40*H40),0)</f>
        <v>1223</v>
      </c>
      <c r="J40" s="17">
        <v>21831.19</v>
      </c>
      <c r="K40" s="17">
        <f>D40-J40</f>
        <v>6152.8100000000013</v>
      </c>
      <c r="P40" s="10"/>
      <c r="Q40" s="17">
        <f>ROUND((C40*P40),0)</f>
        <v>0</v>
      </c>
      <c r="U40" s="8">
        <v>35</v>
      </c>
      <c r="V40" s="9" t="s">
        <v>56</v>
      </c>
      <c r="W40" s="9">
        <v>0</v>
      </c>
      <c r="X40" s="37">
        <v>2.8604172513799233E-2</v>
      </c>
      <c r="Y40" s="20">
        <f t="shared" si="1"/>
        <v>1223</v>
      </c>
      <c r="Z40" s="17">
        <v>23422</v>
      </c>
      <c r="AA40" s="17">
        <f>D40-Z40</f>
        <v>4562</v>
      </c>
    </row>
    <row r="41" spans="1:27" x14ac:dyDescent="0.25">
      <c r="C41" s="29"/>
      <c r="D41" s="29"/>
      <c r="E41" s="29"/>
      <c r="F41" s="29"/>
      <c r="G41" s="29"/>
      <c r="H41" s="13"/>
      <c r="I41" s="29"/>
      <c r="J41" s="29"/>
      <c r="K41" s="29"/>
      <c r="P41" s="10"/>
      <c r="Q41" s="17"/>
      <c r="U41" s="29"/>
      <c r="V41" s="29"/>
      <c r="W41" s="38"/>
      <c r="X41" s="39"/>
      <c r="Y41" s="17"/>
      <c r="Z41" s="29"/>
      <c r="AA41" s="29"/>
    </row>
    <row r="42" spans="1:27" ht="15.6" x14ac:dyDescent="0.3">
      <c r="B42" s="4" t="s">
        <v>73</v>
      </c>
      <c r="C42" s="17">
        <f>SUM(C30:C40)</f>
        <v>4167820.19</v>
      </c>
      <c r="D42" s="17">
        <f>SUM(D30:D40)</f>
        <v>2740147</v>
      </c>
      <c r="F42" s="9"/>
      <c r="H42" s="12">
        <f>ROUND((I42/C42),4)</f>
        <v>3.1899999999999998E-2</v>
      </c>
      <c r="I42" s="17">
        <f>SUM(I30:I40)</f>
        <v>133025</v>
      </c>
      <c r="J42" s="17">
        <f>SUM(J30:J40)</f>
        <v>2532553.8099999996</v>
      </c>
      <c r="K42" s="17">
        <f>SUM(K30:K40)</f>
        <v>207593.19000000003</v>
      </c>
      <c r="P42" s="10"/>
      <c r="Q42" s="17">
        <f>Q40</f>
        <v>0</v>
      </c>
      <c r="W42" s="9"/>
      <c r="X42" s="37">
        <v>3.3487999999999997E-2</v>
      </c>
      <c r="Y42" s="17">
        <f t="shared" si="1"/>
        <v>139571.96252271999</v>
      </c>
      <c r="Z42" s="17">
        <f>SUM(Z30:Z40)</f>
        <v>2576956</v>
      </c>
      <c r="AA42" s="17">
        <f>SUM(AA30:AA40)</f>
        <v>163191</v>
      </c>
    </row>
    <row r="43" spans="1:27" ht="15.6" x14ac:dyDescent="0.3">
      <c r="B43" s="4"/>
      <c r="C43" s="17"/>
      <c r="D43" s="17"/>
      <c r="F43" s="9"/>
      <c r="H43" s="10"/>
      <c r="I43" s="17"/>
      <c r="J43" s="17"/>
      <c r="K43" s="17"/>
      <c r="P43" s="10"/>
      <c r="Q43" s="17"/>
      <c r="W43" s="9"/>
      <c r="Y43" s="17"/>
      <c r="Z43" s="17"/>
    </row>
    <row r="44" spans="1:27" ht="15.6" x14ac:dyDescent="0.3">
      <c r="A44" s="4" t="s">
        <v>74</v>
      </c>
      <c r="C44" s="17"/>
      <c r="D44" s="17"/>
      <c r="F44" s="9"/>
      <c r="H44" s="10"/>
      <c r="I44" s="17"/>
      <c r="J44" s="17"/>
      <c r="K44" s="17"/>
      <c r="P44" s="10"/>
      <c r="Q44" s="17"/>
      <c r="W44" s="9"/>
      <c r="Y44" s="17"/>
      <c r="Z44" s="17"/>
    </row>
    <row r="45" spans="1:27" x14ac:dyDescent="0.25">
      <c r="A45" s="9" t="s">
        <v>266</v>
      </c>
      <c r="B45" s="8" t="s">
        <v>75</v>
      </c>
      <c r="C45" s="17">
        <f>15476610.3+1273897.43</f>
        <v>16750507.73</v>
      </c>
      <c r="D45" s="17">
        <f>5936700+2157822</f>
        <v>8094522</v>
      </c>
      <c r="E45" s="19">
        <v>90</v>
      </c>
      <c r="F45" s="9" t="s">
        <v>48</v>
      </c>
      <c r="G45" s="9">
        <v>0</v>
      </c>
      <c r="H45" s="12">
        <v>1.11E-2</v>
      </c>
      <c r="I45" s="17">
        <f>ROUND((C45*H45),0)</f>
        <v>185931</v>
      </c>
      <c r="J45" s="17">
        <f>3288924.5+317089.14</f>
        <v>3606013.64</v>
      </c>
      <c r="K45" s="17">
        <f>D45-J45</f>
        <v>4488508.3599999994</v>
      </c>
      <c r="M45" s="8">
        <v>85</v>
      </c>
      <c r="N45" s="9" t="s">
        <v>48</v>
      </c>
      <c r="O45" s="19" t="s">
        <v>77</v>
      </c>
      <c r="P45" s="10">
        <v>1.06E-2</v>
      </c>
      <c r="Q45" s="17">
        <f>ROUND((C45*P45),0)</f>
        <v>177555</v>
      </c>
      <c r="U45" s="19">
        <v>80</v>
      </c>
      <c r="V45" s="9" t="s">
        <v>45</v>
      </c>
      <c r="W45" s="9">
        <v>0</v>
      </c>
      <c r="X45" s="37">
        <v>1.2500018406651527E-2</v>
      </c>
      <c r="Y45" s="17">
        <f t="shared" ref="Y45:Y68" si="2">C45*X45</f>
        <v>209381.6549457587</v>
      </c>
      <c r="Z45" s="17">
        <f>3478332+334866</f>
        <v>3813198</v>
      </c>
      <c r="AA45" s="17">
        <f>D45-Z45</f>
        <v>4281324</v>
      </c>
    </row>
    <row r="46" spans="1:27" x14ac:dyDescent="0.25">
      <c r="A46" s="9"/>
      <c r="C46" s="17"/>
      <c r="D46" s="17"/>
      <c r="E46" s="19"/>
      <c r="F46" s="9"/>
      <c r="G46" s="9"/>
      <c r="H46" s="12"/>
      <c r="I46" s="17"/>
      <c r="J46" s="17"/>
      <c r="K46" s="17"/>
      <c r="N46" s="9"/>
      <c r="O46" s="19"/>
      <c r="P46" s="10"/>
      <c r="Q46" s="17"/>
      <c r="U46" s="19"/>
      <c r="V46" s="9"/>
      <c r="W46" s="9"/>
      <c r="Y46" s="17"/>
      <c r="Z46" s="17"/>
      <c r="AA46" s="17"/>
    </row>
    <row r="47" spans="1:27" x14ac:dyDescent="0.25">
      <c r="A47" s="9" t="s">
        <v>267</v>
      </c>
      <c r="B47" s="8" t="s">
        <v>268</v>
      </c>
      <c r="C47" s="17">
        <v>11976</v>
      </c>
      <c r="D47" s="17">
        <v>648</v>
      </c>
      <c r="E47" s="19">
        <v>80</v>
      </c>
      <c r="F47" s="9" t="s">
        <v>45</v>
      </c>
      <c r="G47" s="9">
        <v>0</v>
      </c>
      <c r="H47" s="12">
        <v>1.2500000000000001E-2</v>
      </c>
      <c r="I47" s="17">
        <f>ROUND((C47*H47),0)</f>
        <v>150</v>
      </c>
      <c r="J47" s="17">
        <v>5841.43</v>
      </c>
      <c r="K47" s="17">
        <f>D47-J47</f>
        <v>-5193.43</v>
      </c>
      <c r="N47" s="9"/>
      <c r="O47" s="19"/>
      <c r="P47" s="10"/>
      <c r="Q47" s="17"/>
      <c r="U47" s="19">
        <v>80</v>
      </c>
      <c r="V47" s="9" t="s">
        <v>45</v>
      </c>
      <c r="W47" s="9">
        <v>0</v>
      </c>
      <c r="X47" s="37">
        <v>1.2525050100200401E-2</v>
      </c>
      <c r="Y47" s="17">
        <f t="shared" si="2"/>
        <v>150</v>
      </c>
      <c r="Z47" s="17">
        <v>5841</v>
      </c>
      <c r="AA47" s="17">
        <f>D47-Z47</f>
        <v>-5193</v>
      </c>
    </row>
    <row r="48" spans="1:27" x14ac:dyDescent="0.25">
      <c r="C48" s="17"/>
      <c r="D48" s="17"/>
      <c r="E48" s="19"/>
      <c r="G48" s="9"/>
      <c r="H48" s="12"/>
      <c r="I48" s="17"/>
      <c r="J48" s="17"/>
      <c r="K48" s="17"/>
      <c r="P48" s="10"/>
      <c r="Q48" s="17"/>
      <c r="U48" s="19"/>
      <c r="W48" s="9"/>
      <c r="Y48" s="17"/>
      <c r="Z48" s="17"/>
    </row>
    <row r="49" spans="1:27" x14ac:dyDescent="0.25">
      <c r="A49" s="9" t="s">
        <v>78</v>
      </c>
      <c r="B49" s="8" t="s">
        <v>44</v>
      </c>
      <c r="C49" s="17">
        <v>15973337.17</v>
      </c>
      <c r="D49" s="17">
        <v>3306109</v>
      </c>
      <c r="E49" s="19">
        <v>80</v>
      </c>
      <c r="F49" s="9" t="s">
        <v>45</v>
      </c>
      <c r="G49" s="9">
        <v>-10</v>
      </c>
      <c r="H49" s="12">
        <v>1.38E-2</v>
      </c>
      <c r="I49" s="17">
        <f>ROUND((C49*H49),0)</f>
        <v>220432</v>
      </c>
      <c r="J49" s="17">
        <v>2650893.64</v>
      </c>
      <c r="K49" s="17">
        <f>D49-J49</f>
        <v>655215.35999999987</v>
      </c>
      <c r="M49" s="8">
        <v>65</v>
      </c>
      <c r="N49" s="9" t="s">
        <v>45</v>
      </c>
      <c r="O49" s="8">
        <v>-40</v>
      </c>
      <c r="P49" s="10">
        <v>2.154E-2</v>
      </c>
      <c r="Q49" s="17">
        <f>ROUND((C49*P49),0)</f>
        <v>344066</v>
      </c>
      <c r="U49" s="19">
        <v>75</v>
      </c>
      <c r="V49" s="9" t="s">
        <v>45</v>
      </c>
      <c r="W49" s="9">
        <v>-25</v>
      </c>
      <c r="X49" s="37">
        <v>1.6624986201168819E-2</v>
      </c>
      <c r="Y49" s="17">
        <f t="shared" si="2"/>
        <v>265556.510037867</v>
      </c>
      <c r="Z49" s="17">
        <v>3169904</v>
      </c>
      <c r="AA49" s="17">
        <f>D49-Z49</f>
        <v>136205</v>
      </c>
    </row>
    <row r="50" spans="1:27" x14ac:dyDescent="0.25">
      <c r="C50" s="17"/>
      <c r="D50" s="17"/>
      <c r="E50" s="19"/>
      <c r="G50" s="9"/>
      <c r="H50" s="12"/>
      <c r="I50" s="17"/>
      <c r="J50" s="17"/>
      <c r="K50" s="17"/>
      <c r="P50" s="10"/>
      <c r="Q50" s="17"/>
      <c r="U50" s="19"/>
      <c r="W50" s="9"/>
      <c r="Y50" s="17"/>
      <c r="Z50" s="17"/>
    </row>
    <row r="51" spans="1:27" x14ac:dyDescent="0.25">
      <c r="A51" s="9" t="s">
        <v>238</v>
      </c>
      <c r="B51" s="8" t="s">
        <v>79</v>
      </c>
      <c r="C51" s="17">
        <v>124605734.3</v>
      </c>
      <c r="D51" s="17">
        <v>32793687</v>
      </c>
      <c r="E51" s="19">
        <v>53</v>
      </c>
      <c r="F51" s="9" t="s">
        <v>80</v>
      </c>
      <c r="G51" s="9">
        <v>-20</v>
      </c>
      <c r="H51" s="12">
        <v>2.2599999999999999E-2</v>
      </c>
      <c r="I51" s="17">
        <f>ROUND((C51*H51),0)</f>
        <v>2816090</v>
      </c>
      <c r="J51" s="17">
        <v>35584385.549999997</v>
      </c>
      <c r="K51" s="17">
        <f>D51-J51</f>
        <v>-2790698.549999997</v>
      </c>
      <c r="M51" s="8">
        <v>55</v>
      </c>
      <c r="N51" s="9" t="s">
        <v>81</v>
      </c>
      <c r="O51" s="8">
        <v>-10</v>
      </c>
      <c r="P51" s="10">
        <v>0.02</v>
      </c>
      <c r="Q51" s="17">
        <f>ROUND((C51*P51),0)</f>
        <v>2492115</v>
      </c>
      <c r="U51" s="19">
        <v>54</v>
      </c>
      <c r="V51" s="9" t="s">
        <v>80</v>
      </c>
      <c r="W51" s="9">
        <v>-20</v>
      </c>
      <c r="X51" s="37">
        <v>2.22000038901983E-2</v>
      </c>
      <c r="Y51" s="17">
        <f t="shared" si="2"/>
        <v>2766247.7862010156</v>
      </c>
      <c r="Z51" s="17">
        <v>36121681</v>
      </c>
      <c r="AA51" s="17">
        <f>D51-Z51</f>
        <v>-3327994</v>
      </c>
    </row>
    <row r="52" spans="1:27" x14ac:dyDescent="0.25">
      <c r="A52" s="9" t="s">
        <v>82</v>
      </c>
      <c r="B52" s="8" t="s">
        <v>83</v>
      </c>
      <c r="C52" s="17">
        <v>3081243.82</v>
      </c>
      <c r="D52" s="17">
        <v>1420193</v>
      </c>
      <c r="E52" s="19">
        <v>33</v>
      </c>
      <c r="F52" s="9" t="s">
        <v>85</v>
      </c>
      <c r="G52" s="9">
        <v>-20</v>
      </c>
      <c r="H52" s="12">
        <v>3.6400000000000002E-2</v>
      </c>
      <c r="I52" s="17">
        <f>ROUND((C52*H52),0)</f>
        <v>112157</v>
      </c>
      <c r="J52" s="17">
        <v>1407291.43</v>
      </c>
      <c r="K52" s="17">
        <f>D52-J52</f>
        <v>12901.570000000065</v>
      </c>
      <c r="N52" s="9"/>
      <c r="P52" s="10"/>
      <c r="Q52" s="17"/>
      <c r="U52" s="19">
        <v>34</v>
      </c>
      <c r="V52" s="9" t="s">
        <v>85</v>
      </c>
      <c r="W52" s="9">
        <v>-20</v>
      </c>
      <c r="X52" s="37">
        <v>3.5279948655890639E-2</v>
      </c>
      <c r="Y52" s="17">
        <f t="shared" si="2"/>
        <v>108706.12376588033</v>
      </c>
      <c r="Z52" s="17">
        <v>1377793</v>
      </c>
      <c r="AA52" s="17">
        <f>D52-Z52</f>
        <v>42400</v>
      </c>
    </row>
    <row r="53" spans="1:27" x14ac:dyDescent="0.25">
      <c r="A53" s="9" t="s">
        <v>239</v>
      </c>
      <c r="B53" s="8" t="s">
        <v>240</v>
      </c>
      <c r="C53" s="17">
        <v>7454177.8600000003</v>
      </c>
      <c r="D53" s="17">
        <v>1674959</v>
      </c>
      <c r="E53" s="19">
        <v>35</v>
      </c>
      <c r="F53" s="9" t="s">
        <v>80</v>
      </c>
      <c r="G53" s="9">
        <v>-20</v>
      </c>
      <c r="H53" s="12">
        <v>3.4299999999999997E-2</v>
      </c>
      <c r="I53" s="17">
        <f>ROUND((C53*H53),0)</f>
        <v>255678</v>
      </c>
      <c r="J53" s="17">
        <v>2202310.62</v>
      </c>
      <c r="K53" s="17">
        <f>D53-J53</f>
        <v>-527351.62000000011</v>
      </c>
      <c r="N53" s="9"/>
      <c r="P53" s="10"/>
      <c r="Q53" s="17"/>
      <c r="U53" s="19">
        <v>40</v>
      </c>
      <c r="V53" s="9" t="s">
        <v>53</v>
      </c>
      <c r="W53" s="9">
        <v>-20</v>
      </c>
      <c r="X53" s="37">
        <v>3.0000081512330159E-2</v>
      </c>
      <c r="Y53" s="17">
        <f t="shared" si="2"/>
        <v>223625.9434074068</v>
      </c>
      <c r="Z53" s="17">
        <v>2121041</v>
      </c>
      <c r="AA53" s="17">
        <f>D53-Z53</f>
        <v>-446082</v>
      </c>
    </row>
    <row r="54" spans="1:27" x14ac:dyDescent="0.25">
      <c r="A54" s="9" t="s">
        <v>219</v>
      </c>
      <c r="B54" s="8" t="s">
        <v>218</v>
      </c>
      <c r="C54" s="17">
        <v>1917371.24</v>
      </c>
      <c r="D54" s="17">
        <v>344215</v>
      </c>
      <c r="E54" s="19">
        <v>30</v>
      </c>
      <c r="F54" s="9" t="s">
        <v>123</v>
      </c>
      <c r="G54" s="9">
        <v>-20</v>
      </c>
      <c r="H54" s="12">
        <v>0.04</v>
      </c>
      <c r="I54" s="17">
        <f>ROUND((C54*H54),0)</f>
        <v>76695</v>
      </c>
      <c r="J54" s="17">
        <v>531985.78</v>
      </c>
      <c r="K54" s="17">
        <f>D54-J54</f>
        <v>-187770.78000000003</v>
      </c>
      <c r="M54" s="8">
        <v>27</v>
      </c>
      <c r="N54" s="9" t="s">
        <v>85</v>
      </c>
      <c r="O54" s="8">
        <v>-10</v>
      </c>
      <c r="P54" s="10">
        <v>4.07E-2</v>
      </c>
      <c r="Q54" s="17">
        <f>ROUND((C54*P54),0)</f>
        <v>78037</v>
      </c>
      <c r="U54" s="19">
        <v>30</v>
      </c>
      <c r="V54" s="9" t="s">
        <v>45</v>
      </c>
      <c r="W54" s="9">
        <v>-20</v>
      </c>
      <c r="X54" s="37">
        <v>3.9960265993517763E-2</v>
      </c>
      <c r="Y54" s="17">
        <f t="shared" si="2"/>
        <v>76618.664758720988</v>
      </c>
      <c r="Z54" s="17">
        <v>521628</v>
      </c>
      <c r="AA54" s="17">
        <f>D54-Z54</f>
        <v>-177413</v>
      </c>
    </row>
    <row r="55" spans="1:27" x14ac:dyDescent="0.25">
      <c r="A55" s="9"/>
      <c r="C55" s="57">
        <f>+SUM(C51:C54)</f>
        <v>137058527.22</v>
      </c>
      <c r="D55" s="17"/>
      <c r="E55" s="19"/>
      <c r="F55" s="9"/>
      <c r="G55" s="9"/>
      <c r="H55" s="58">
        <f>+I55/C55</f>
        <v>2.3789982762372777E-2</v>
      </c>
      <c r="I55" s="57">
        <f>+SUM(I51:I54)</f>
        <v>3260620</v>
      </c>
      <c r="J55" s="17"/>
      <c r="K55" s="17"/>
      <c r="N55" s="9"/>
      <c r="P55" s="10"/>
      <c r="Q55" s="17"/>
      <c r="U55" s="19"/>
      <c r="V55" s="9"/>
      <c r="W55" s="9"/>
      <c r="Y55" s="17"/>
      <c r="Z55" s="17"/>
      <c r="AA55" s="17"/>
    </row>
    <row r="56" spans="1:27" x14ac:dyDescent="0.25">
      <c r="C56" s="17"/>
      <c r="D56" s="17"/>
      <c r="G56" s="9"/>
      <c r="H56" s="12"/>
      <c r="I56" s="17"/>
      <c r="J56" s="17"/>
      <c r="K56" s="17"/>
      <c r="P56" s="10"/>
      <c r="Q56" s="17"/>
      <c r="W56" s="9"/>
      <c r="Y56" s="17"/>
      <c r="Z56" s="17"/>
    </row>
    <row r="57" spans="1:27" x14ac:dyDescent="0.25">
      <c r="A57" s="9" t="s">
        <v>86</v>
      </c>
      <c r="B57" s="8" t="s">
        <v>87</v>
      </c>
      <c r="C57" s="17">
        <v>3031159.51</v>
      </c>
      <c r="D57" s="17">
        <v>2075462</v>
      </c>
      <c r="E57" s="8">
        <v>80</v>
      </c>
      <c r="F57" s="9" t="s">
        <v>70</v>
      </c>
      <c r="G57" s="9">
        <v>-30</v>
      </c>
      <c r="H57" s="12">
        <v>1.6299999999999999E-2</v>
      </c>
      <c r="I57" s="17">
        <f>ROUND((C57*H57),0)</f>
        <v>49408</v>
      </c>
      <c r="J57" s="17">
        <v>1904249.92</v>
      </c>
      <c r="K57" s="17">
        <f>D57-J57</f>
        <v>171212.08000000007</v>
      </c>
      <c r="M57" s="8">
        <v>72</v>
      </c>
      <c r="N57" s="9" t="s">
        <v>45</v>
      </c>
      <c r="O57" s="8">
        <v>-20</v>
      </c>
      <c r="P57" s="10">
        <v>1.6670000000000001E-2</v>
      </c>
      <c r="Q57" s="17">
        <f>ROUND((C57*P57),0)</f>
        <v>50529</v>
      </c>
      <c r="U57" s="19">
        <v>70</v>
      </c>
      <c r="V57" s="9" t="s">
        <v>45</v>
      </c>
      <c r="W57" s="9">
        <v>-50</v>
      </c>
      <c r="X57" s="37">
        <v>2.1450158147566272E-2</v>
      </c>
      <c r="Y57" s="17">
        <f t="shared" si="2"/>
        <v>65018.850859999482</v>
      </c>
      <c r="Z57" s="17">
        <v>2506694</v>
      </c>
      <c r="AA57" s="17">
        <f>D57-Z57</f>
        <v>-431232</v>
      </c>
    </row>
    <row r="58" spans="1:27" x14ac:dyDescent="0.25">
      <c r="C58" s="17"/>
      <c r="D58" s="17"/>
      <c r="G58" s="9"/>
      <c r="H58" s="12"/>
      <c r="I58" s="17"/>
      <c r="J58" s="17"/>
      <c r="K58" s="17"/>
      <c r="P58" s="10"/>
      <c r="Q58" s="17"/>
      <c r="W58" s="9"/>
      <c r="Y58" s="17"/>
      <c r="Z58" s="17"/>
    </row>
    <row r="59" spans="1:27" x14ac:dyDescent="0.25">
      <c r="A59" s="9" t="s">
        <v>220</v>
      </c>
      <c r="B59" s="8" t="s">
        <v>88</v>
      </c>
      <c r="C59" s="17">
        <f>120561584.42+15131254.25</f>
        <v>135692838.67000002</v>
      </c>
      <c r="D59" s="17">
        <f>14968272+6865995</f>
        <v>21834267</v>
      </c>
      <c r="E59" s="8">
        <v>55</v>
      </c>
      <c r="F59" s="9" t="s">
        <v>70</v>
      </c>
      <c r="G59" s="9">
        <v>-50</v>
      </c>
      <c r="H59" s="12">
        <v>2.7300000000000001E-2</v>
      </c>
      <c r="I59" s="17">
        <f t="shared" ref="I59:I64" si="3">ROUND((C59*H59),0)</f>
        <v>3704414</v>
      </c>
      <c r="J59" s="17">
        <f>3161780.83+18867889.88+6849816.95</f>
        <v>28879487.66</v>
      </c>
      <c r="K59" s="17">
        <f>D59-J59</f>
        <v>-7045220.6600000001</v>
      </c>
      <c r="P59" s="10"/>
      <c r="Q59" s="17">
        <f>ROUND((C59*P59),0)</f>
        <v>0</v>
      </c>
      <c r="U59" s="8">
        <v>52</v>
      </c>
      <c r="V59" s="9" t="s">
        <v>91</v>
      </c>
      <c r="W59" s="9">
        <v>-60</v>
      </c>
      <c r="X59" s="37">
        <v>3.0719765600272442E-2</v>
      </c>
      <c r="Y59" s="17">
        <f t="shared" si="2"/>
        <v>4168452.1975779845</v>
      </c>
      <c r="Z59" s="17">
        <f>23877796+7235973</f>
        <v>31113769</v>
      </c>
      <c r="AA59" s="17">
        <f>D59-Z59</f>
        <v>-9279502</v>
      </c>
    </row>
    <row r="60" spans="1:27" x14ac:dyDescent="0.25">
      <c r="C60" s="17"/>
      <c r="D60" s="17"/>
      <c r="G60" s="9"/>
      <c r="H60" s="12"/>
      <c r="I60" s="17"/>
      <c r="J60" s="17"/>
      <c r="K60" s="17"/>
      <c r="P60" s="10"/>
      <c r="Q60" s="17"/>
      <c r="W60" s="9"/>
      <c r="Y60" s="17"/>
      <c r="Z60" s="17"/>
    </row>
    <row r="61" spans="1:27" x14ac:dyDescent="0.25">
      <c r="A61" s="9" t="s">
        <v>296</v>
      </c>
      <c r="B61" s="8" t="s">
        <v>90</v>
      </c>
      <c r="C61" s="17">
        <v>68383354.329999998</v>
      </c>
      <c r="D61" s="17">
        <v>12207325</v>
      </c>
      <c r="E61" s="8">
        <v>70</v>
      </c>
      <c r="F61" s="9" t="s">
        <v>53</v>
      </c>
      <c r="G61" s="9">
        <v>-35</v>
      </c>
      <c r="H61" s="12">
        <v>1.9300000000000001E-2</v>
      </c>
      <c r="I61" s="17">
        <f t="shared" si="3"/>
        <v>1319799</v>
      </c>
      <c r="J61" s="17">
        <v>13272356.18</v>
      </c>
      <c r="K61" s="17">
        <f>D61-J61</f>
        <v>-1065031.1799999997</v>
      </c>
      <c r="M61" s="8">
        <v>70</v>
      </c>
      <c r="N61" s="9" t="s">
        <v>80</v>
      </c>
      <c r="O61" s="8">
        <v>-40</v>
      </c>
      <c r="P61" s="10">
        <v>0.02</v>
      </c>
      <c r="Q61" s="17">
        <f>ROUND((C61*P61),0)</f>
        <v>1367667</v>
      </c>
      <c r="U61" s="8">
        <v>60</v>
      </c>
      <c r="V61" s="9" t="s">
        <v>91</v>
      </c>
      <c r="W61" s="9">
        <v>-40</v>
      </c>
      <c r="X61" s="37">
        <v>2.3380002194305364E-2</v>
      </c>
      <c r="Y61" s="17">
        <f t="shared" si="2"/>
        <v>1598802.9742893612</v>
      </c>
      <c r="Z61" s="17">
        <v>17398997</v>
      </c>
      <c r="AA61" s="17">
        <f>D61-Z61</f>
        <v>-5191672</v>
      </c>
    </row>
    <row r="62" spans="1:27" x14ac:dyDescent="0.25">
      <c r="A62" s="9" t="s">
        <v>295</v>
      </c>
      <c r="B62" s="8" t="s">
        <v>297</v>
      </c>
      <c r="C62" s="17">
        <v>4219505.42</v>
      </c>
      <c r="D62" s="17">
        <v>3121150</v>
      </c>
      <c r="E62" s="8">
        <v>65</v>
      </c>
      <c r="F62" s="9" t="s">
        <v>91</v>
      </c>
      <c r="G62" s="9">
        <v>-35</v>
      </c>
      <c r="H62" s="12">
        <v>2.0799999999999999E-2</v>
      </c>
      <c r="I62" s="17">
        <f t="shared" si="3"/>
        <v>87766</v>
      </c>
      <c r="J62" s="17">
        <v>2955596.77</v>
      </c>
      <c r="K62" s="17"/>
      <c r="N62" s="9"/>
      <c r="P62" s="10"/>
      <c r="Q62" s="17"/>
      <c r="V62" s="9"/>
      <c r="W62" s="9">
        <v>-40</v>
      </c>
      <c r="X62" s="37">
        <v>2.3380002194305364E-2</v>
      </c>
      <c r="Y62" s="17">
        <f t="shared" si="2"/>
        <v>98652.04597848338</v>
      </c>
      <c r="Z62" s="17">
        <v>3265893</v>
      </c>
      <c r="AA62" s="17">
        <f>D62-Z62</f>
        <v>-144743</v>
      </c>
    </row>
    <row r="63" spans="1:27" x14ac:dyDescent="0.25">
      <c r="A63" s="9" t="s">
        <v>269</v>
      </c>
      <c r="B63" s="8" t="s">
        <v>92</v>
      </c>
      <c r="C63" s="17">
        <v>1507829</v>
      </c>
      <c r="D63" s="17">
        <v>1201989</v>
      </c>
      <c r="E63" s="8">
        <v>65</v>
      </c>
      <c r="F63" s="9" t="s">
        <v>91</v>
      </c>
      <c r="G63" s="9">
        <v>-35</v>
      </c>
      <c r="H63" s="12">
        <v>2.0799999999999999E-2</v>
      </c>
      <c r="I63" s="17">
        <f t="shared" si="3"/>
        <v>31363</v>
      </c>
      <c r="J63" s="17">
        <v>1186474.31</v>
      </c>
      <c r="K63" s="17">
        <f>D63-J63</f>
        <v>15514.689999999944</v>
      </c>
      <c r="P63" s="10"/>
      <c r="Q63" s="17">
        <f>ROUND((C63*P63),0)</f>
        <v>0</v>
      </c>
      <c r="U63" s="8">
        <v>65</v>
      </c>
      <c r="V63" s="9" t="s">
        <v>45</v>
      </c>
      <c r="W63" s="9">
        <v>-40</v>
      </c>
      <c r="X63" s="37">
        <v>2.1552616059511861E-2</v>
      </c>
      <c r="Y63" s="17">
        <f t="shared" si="2"/>
        <v>32497.659520397709</v>
      </c>
      <c r="Z63" s="17">
        <v>1363052</v>
      </c>
      <c r="AA63" s="17">
        <f>D63-Z63</f>
        <v>-161063</v>
      </c>
    </row>
    <row r="64" spans="1:27" x14ac:dyDescent="0.25">
      <c r="A64" s="9" t="s">
        <v>270</v>
      </c>
      <c r="B64" s="8" t="s">
        <v>271</v>
      </c>
      <c r="C64" s="17">
        <v>444471</v>
      </c>
      <c r="D64" s="17">
        <v>389456</v>
      </c>
      <c r="E64" s="8">
        <v>65</v>
      </c>
      <c r="F64" s="9" t="s">
        <v>91</v>
      </c>
      <c r="G64" s="9">
        <v>-35</v>
      </c>
      <c r="H64" s="12">
        <v>2.0799999999999999E-2</v>
      </c>
      <c r="I64" s="17">
        <f t="shared" si="3"/>
        <v>9245</v>
      </c>
      <c r="J64" s="17">
        <v>344456.78</v>
      </c>
      <c r="K64" s="17">
        <f>D64-J64</f>
        <v>44999.219999999972</v>
      </c>
      <c r="P64" s="10"/>
      <c r="Q64" s="17">
        <f>ROUND((C64*P64),0)</f>
        <v>0</v>
      </c>
      <c r="U64" s="8">
        <v>65</v>
      </c>
      <c r="V64" s="9" t="s">
        <v>45</v>
      </c>
      <c r="W64" s="9">
        <v>-40</v>
      </c>
      <c r="X64" s="37">
        <v>2.1560461762409697E-2</v>
      </c>
      <c r="Y64" s="17">
        <f t="shared" si="2"/>
        <v>9583</v>
      </c>
      <c r="Z64" s="17">
        <v>397767</v>
      </c>
      <c r="AA64" s="17">
        <f>D64-Z64</f>
        <v>-8311</v>
      </c>
    </row>
    <row r="65" spans="1:30" x14ac:dyDescent="0.25">
      <c r="C65" s="57">
        <f>+SUM(C61:C64)</f>
        <v>74555159.75</v>
      </c>
      <c r="D65" s="17"/>
      <c r="G65" s="9"/>
      <c r="H65" s="58">
        <f>+I65/C65</f>
        <v>1.9424182106993607E-2</v>
      </c>
      <c r="I65" s="57">
        <f>+SUM(I61:I64)</f>
        <v>1448173</v>
      </c>
      <c r="J65" s="17"/>
      <c r="K65" s="17"/>
      <c r="P65" s="10"/>
      <c r="Q65" s="17"/>
      <c r="W65" s="9"/>
      <c r="Y65" s="17"/>
      <c r="Z65" s="17"/>
    </row>
    <row r="66" spans="1:30" x14ac:dyDescent="0.25">
      <c r="A66" s="9" t="s">
        <v>93</v>
      </c>
      <c r="B66" s="8" t="s">
        <v>94</v>
      </c>
      <c r="C66" s="17">
        <v>20965</v>
      </c>
      <c r="D66" s="17">
        <v>17160</v>
      </c>
      <c r="E66" s="8">
        <v>40</v>
      </c>
      <c r="F66" s="9" t="s">
        <v>81</v>
      </c>
      <c r="G66" s="9">
        <v>0</v>
      </c>
      <c r="H66" s="12">
        <v>2.5000000000000001E-2</v>
      </c>
      <c r="I66" s="17">
        <f>ROUND((C66*H66),0)</f>
        <v>524</v>
      </c>
      <c r="J66" s="17">
        <v>13898.3</v>
      </c>
      <c r="K66" s="17">
        <f>D66-J66</f>
        <v>3261.7000000000007</v>
      </c>
      <c r="P66" s="10"/>
      <c r="Q66" s="17">
        <f>ROUND((C66*P66),0)</f>
        <v>0</v>
      </c>
      <c r="U66" s="8">
        <v>40</v>
      </c>
      <c r="V66" s="9" t="s">
        <v>81</v>
      </c>
      <c r="W66" s="9">
        <v>0</v>
      </c>
      <c r="X66" s="37">
        <v>2.4994037681850705E-2</v>
      </c>
      <c r="Y66" s="17">
        <f t="shared" si="2"/>
        <v>524</v>
      </c>
      <c r="Z66" s="17">
        <v>13727</v>
      </c>
      <c r="AA66" s="17">
        <f>D66-Z66</f>
        <v>3433</v>
      </c>
    </row>
    <row r="67" spans="1:30" x14ac:dyDescent="0.25">
      <c r="C67" s="17"/>
      <c r="D67" s="17"/>
      <c r="G67" s="9"/>
      <c r="H67" s="12"/>
      <c r="I67" s="17"/>
      <c r="J67" s="17"/>
      <c r="K67" s="17"/>
      <c r="P67" s="10"/>
      <c r="Q67" s="17"/>
      <c r="W67" s="9"/>
      <c r="Y67" s="17"/>
      <c r="Z67" s="17"/>
    </row>
    <row r="68" spans="1:30" x14ac:dyDescent="0.25">
      <c r="A68" s="9" t="s">
        <v>95</v>
      </c>
      <c r="B68" s="8" t="s">
        <v>96</v>
      </c>
      <c r="C68" s="17">
        <v>7385478.5800000001</v>
      </c>
      <c r="D68" s="17">
        <v>4980646</v>
      </c>
      <c r="E68" s="8">
        <v>60</v>
      </c>
      <c r="F68" s="9" t="s">
        <v>70</v>
      </c>
      <c r="G68" s="9">
        <v>-5</v>
      </c>
      <c r="H68" s="12">
        <v>1.7500000000000002E-2</v>
      </c>
      <c r="I68" s="17">
        <f>ROUND((C68*H68),0)</f>
        <v>129246</v>
      </c>
      <c r="J68" s="17">
        <v>3697700.57</v>
      </c>
      <c r="K68" s="17">
        <f>D68-J68</f>
        <v>1282945.4300000002</v>
      </c>
      <c r="P68" s="10"/>
      <c r="Q68" s="17">
        <f>ROUND((C68*P68),0)</f>
        <v>0</v>
      </c>
      <c r="U68" s="8">
        <v>55</v>
      </c>
      <c r="V68" s="9" t="s">
        <v>70</v>
      </c>
      <c r="W68" s="9">
        <v>-15</v>
      </c>
      <c r="X68" s="37">
        <v>2.093005860226696E-2</v>
      </c>
      <c r="Y68" s="20">
        <f t="shared" si="2"/>
        <v>154578.49948518738</v>
      </c>
      <c r="Z68" s="17">
        <v>4350868</v>
      </c>
      <c r="AA68" s="17">
        <f>D68-Z68</f>
        <v>629778</v>
      </c>
    </row>
    <row r="69" spans="1:30" x14ac:dyDescent="0.25">
      <c r="C69" s="29"/>
      <c r="D69" s="29"/>
      <c r="E69" s="29"/>
      <c r="F69" s="29"/>
      <c r="G69" s="29"/>
      <c r="H69" s="13"/>
      <c r="I69" s="29"/>
      <c r="J69" s="29"/>
      <c r="K69" s="29"/>
      <c r="P69" s="10"/>
      <c r="Q69" s="17"/>
      <c r="U69" s="29"/>
      <c r="V69" s="29"/>
      <c r="W69" s="29"/>
      <c r="X69" s="39"/>
      <c r="Y69" s="17"/>
      <c r="Z69" s="29"/>
      <c r="AA69" s="29"/>
    </row>
    <row r="70" spans="1:30" ht="15.6" x14ac:dyDescent="0.3">
      <c r="B70" s="4" t="s">
        <v>97</v>
      </c>
      <c r="C70" s="17">
        <f>SUM(C45:C68)</f>
        <v>602093636.60000002</v>
      </c>
      <c r="D70" s="17">
        <f>SUM(D45:D68)</f>
        <v>93461788</v>
      </c>
      <c r="F70" s="9"/>
      <c r="H70" s="12">
        <f>ROUND((I70/C70),4)</f>
        <v>2.2800000000000001E-2</v>
      </c>
      <c r="I70" s="17">
        <f>SUM(I45:I68)</f>
        <v>13707691</v>
      </c>
      <c r="J70" s="17">
        <f>SUM(J45:J68)</f>
        <v>98242942.579999983</v>
      </c>
      <c r="K70" s="17">
        <f>SUM(K45:K68)</f>
        <v>-4946707.8099999987</v>
      </c>
      <c r="P70" s="10"/>
      <c r="Q70" s="17">
        <f>SUM(Q45:Q68)</f>
        <v>4509969</v>
      </c>
      <c r="X70" s="37">
        <v>2.4777E-2</v>
      </c>
      <c r="Y70" s="17">
        <f>C70*X70</f>
        <v>14918074.034038201</v>
      </c>
      <c r="Z70" s="17">
        <f>SUM(Z45:Z68)</f>
        <v>107541853</v>
      </c>
      <c r="AA70" s="17">
        <f>SUM(AA45:AA68)</f>
        <v>-14080065</v>
      </c>
    </row>
    <row r="71" spans="1:30" x14ac:dyDescent="0.25">
      <c r="C71" s="17"/>
      <c r="D71" s="17"/>
      <c r="F71" s="9"/>
      <c r="H71" s="12"/>
      <c r="I71" s="17"/>
      <c r="J71" s="17"/>
      <c r="K71" s="17"/>
      <c r="L71" s="53"/>
      <c r="M71" s="53"/>
      <c r="N71" s="53"/>
      <c r="O71" s="53"/>
      <c r="P71" s="53"/>
      <c r="Q71" s="54"/>
      <c r="R71" s="53"/>
      <c r="S71" s="53"/>
      <c r="T71" s="53"/>
      <c r="Y71" s="17"/>
      <c r="Z71" s="17"/>
      <c r="AB71" s="53"/>
    </row>
    <row r="72" spans="1:30" x14ac:dyDescent="0.25">
      <c r="C72" s="17"/>
      <c r="D72" s="17"/>
      <c r="F72" s="9"/>
      <c r="H72" s="12"/>
      <c r="I72" s="17"/>
      <c r="J72" s="17"/>
      <c r="K72" s="17"/>
      <c r="Q72" s="17"/>
      <c r="T72" s="19" t="s">
        <v>302</v>
      </c>
      <c r="Y72" s="17"/>
      <c r="Z72" s="17"/>
      <c r="AD72" s="19" t="s">
        <v>306</v>
      </c>
    </row>
    <row r="73" spans="1:30" x14ac:dyDescent="0.25">
      <c r="C73" s="17"/>
      <c r="D73" s="17"/>
      <c r="F73" s="9"/>
      <c r="H73" s="12"/>
      <c r="I73" s="17"/>
      <c r="J73" s="17"/>
      <c r="K73" s="17"/>
      <c r="Q73" s="17"/>
      <c r="T73" s="19" t="s">
        <v>303</v>
      </c>
      <c r="Y73" s="17"/>
      <c r="Z73" s="17"/>
      <c r="AD73" s="19" t="s">
        <v>305</v>
      </c>
    </row>
    <row r="74" spans="1:30" x14ac:dyDescent="0.25">
      <c r="C74" s="17"/>
      <c r="D74" s="17"/>
      <c r="F74" s="9"/>
      <c r="H74" s="12"/>
      <c r="I74" s="17"/>
      <c r="J74" s="17"/>
      <c r="K74" s="17"/>
      <c r="Q74" s="17"/>
      <c r="T74" s="19" t="s">
        <v>312</v>
      </c>
      <c r="Y74" s="17"/>
      <c r="Z74" s="17"/>
      <c r="AD74" s="19" t="s">
        <v>313</v>
      </c>
    </row>
    <row r="75" spans="1:30" ht="15.6" x14ac:dyDescent="0.3">
      <c r="A75" s="55" t="s">
        <v>0</v>
      </c>
      <c r="B75" s="16"/>
      <c r="C75" s="16"/>
      <c r="D75" s="16"/>
      <c r="E75" s="16"/>
      <c r="F75" s="16"/>
      <c r="G75" s="16"/>
      <c r="H75" s="16"/>
      <c r="I75" s="16"/>
      <c r="T75" s="19"/>
      <c r="U75" s="55"/>
      <c r="V75" s="55"/>
      <c r="W75" s="55"/>
      <c r="X75" s="56"/>
      <c r="Y75" s="55"/>
      <c r="Z75" s="55"/>
      <c r="AA75" s="55"/>
      <c r="AB75" s="55"/>
    </row>
    <row r="76" spans="1:30" ht="15.6" x14ac:dyDescent="0.3">
      <c r="A76" s="55" t="s">
        <v>301</v>
      </c>
      <c r="B76" s="16"/>
      <c r="C76" s="16"/>
      <c r="D76" s="16"/>
      <c r="E76" s="16"/>
      <c r="F76" s="16"/>
      <c r="G76" s="16"/>
      <c r="H76" s="16"/>
      <c r="I76" s="16"/>
      <c r="T76" s="19"/>
      <c r="U76" s="55"/>
      <c r="V76" s="55"/>
      <c r="W76" s="55"/>
      <c r="X76" s="56"/>
      <c r="Y76" s="55"/>
      <c r="Z76" s="55"/>
      <c r="AA76" s="55"/>
      <c r="AB76" s="55"/>
    </row>
    <row r="77" spans="1:30" ht="15.6" x14ac:dyDescent="0.3">
      <c r="A77" s="55" t="s">
        <v>26</v>
      </c>
      <c r="B77" s="16"/>
      <c r="C77" s="16"/>
      <c r="D77" s="16"/>
      <c r="E77" s="16"/>
      <c r="F77" s="16"/>
      <c r="G77" s="16"/>
      <c r="H77" s="16"/>
      <c r="I77" s="16"/>
      <c r="T77" s="19"/>
      <c r="U77" s="55"/>
      <c r="V77" s="55"/>
      <c r="W77" s="55"/>
      <c r="X77" s="56"/>
      <c r="Y77" s="55"/>
      <c r="Z77" s="55"/>
      <c r="AA77" s="55"/>
      <c r="AB77" s="55"/>
    </row>
    <row r="78" spans="1:30" ht="15.6" x14ac:dyDescent="0.3">
      <c r="A78" s="52" t="s">
        <v>26</v>
      </c>
      <c r="F78" s="9"/>
      <c r="Z78" s="17"/>
    </row>
    <row r="79" spans="1:30" ht="16.2" thickBot="1" x14ac:dyDescent="0.35">
      <c r="E79" s="63" t="s">
        <v>293</v>
      </c>
      <c r="F79" s="63"/>
      <c r="G79" s="63"/>
      <c r="H79" s="63"/>
      <c r="I79" s="63"/>
      <c r="J79" s="63"/>
      <c r="K79" s="63"/>
      <c r="M79" s="5" t="s">
        <v>27</v>
      </c>
      <c r="N79" s="5"/>
      <c r="O79" s="5"/>
      <c r="P79" s="5"/>
      <c r="Q79" s="5"/>
      <c r="U79" s="63" t="s">
        <v>307</v>
      </c>
      <c r="V79" s="63"/>
      <c r="W79" s="63"/>
      <c r="X79" s="63"/>
      <c r="Y79" s="63"/>
      <c r="Z79" s="63"/>
      <c r="AA79" s="63"/>
    </row>
    <row r="80" spans="1:30" x14ac:dyDescent="0.25">
      <c r="F80" s="9"/>
      <c r="Z80" s="17"/>
    </row>
    <row r="81" spans="1:27" x14ac:dyDescent="0.25">
      <c r="D81" s="18">
        <v>43830</v>
      </c>
      <c r="F81" s="9"/>
      <c r="Z81" s="17"/>
    </row>
    <row r="82" spans="1:27" x14ac:dyDescent="0.25">
      <c r="D82" s="9" t="s">
        <v>2</v>
      </c>
      <c r="K82" s="9" t="s">
        <v>3</v>
      </c>
      <c r="Q82" s="9" t="s">
        <v>28</v>
      </c>
      <c r="AA82" s="9" t="s">
        <v>3</v>
      </c>
    </row>
    <row r="83" spans="1:27" x14ac:dyDescent="0.25">
      <c r="C83" s="9" t="s">
        <v>4</v>
      </c>
      <c r="D83" s="9" t="s">
        <v>5</v>
      </c>
      <c r="F83" s="9" t="s">
        <v>29</v>
      </c>
      <c r="G83" s="9" t="s">
        <v>30</v>
      </c>
      <c r="H83" s="9" t="s">
        <v>31</v>
      </c>
      <c r="I83" s="9" t="s">
        <v>6</v>
      </c>
      <c r="J83" s="9" t="s">
        <v>7</v>
      </c>
      <c r="K83" s="9" t="s">
        <v>8</v>
      </c>
      <c r="N83" s="9" t="s">
        <v>29</v>
      </c>
      <c r="O83" s="9" t="s">
        <v>30</v>
      </c>
      <c r="P83" s="9" t="s">
        <v>31</v>
      </c>
      <c r="Q83" s="9" t="s">
        <v>32</v>
      </c>
      <c r="V83" s="9" t="s">
        <v>29</v>
      </c>
      <c r="W83" s="9" t="s">
        <v>30</v>
      </c>
      <c r="X83" s="37" t="s">
        <v>31</v>
      </c>
      <c r="Y83" s="9" t="s">
        <v>6</v>
      </c>
      <c r="Z83" s="9" t="s">
        <v>7</v>
      </c>
      <c r="AA83" s="9" t="s">
        <v>8</v>
      </c>
    </row>
    <row r="84" spans="1:27" x14ac:dyDescent="0.25">
      <c r="A84" s="6" t="s">
        <v>33</v>
      </c>
      <c r="B84" s="6" t="s">
        <v>34</v>
      </c>
      <c r="C84" s="6" t="s">
        <v>294</v>
      </c>
      <c r="D84" s="6" t="s">
        <v>9</v>
      </c>
      <c r="E84" s="6" t="s">
        <v>35</v>
      </c>
      <c r="F84" s="6" t="s">
        <v>36</v>
      </c>
      <c r="G84" s="6" t="s">
        <v>37</v>
      </c>
      <c r="H84" s="6" t="s">
        <v>38</v>
      </c>
      <c r="I84" s="6" t="s">
        <v>10</v>
      </c>
      <c r="J84" s="6" t="s">
        <v>11</v>
      </c>
      <c r="K84" s="6" t="s">
        <v>11</v>
      </c>
      <c r="L84" s="7"/>
      <c r="M84" s="6" t="s">
        <v>35</v>
      </c>
      <c r="N84" s="6" t="s">
        <v>36</v>
      </c>
      <c r="O84" s="6" t="s">
        <v>37</v>
      </c>
      <c r="P84" s="6" t="s">
        <v>39</v>
      </c>
      <c r="Q84" s="6" t="s">
        <v>40</v>
      </c>
      <c r="R84" s="7"/>
      <c r="U84" s="6" t="s">
        <v>35</v>
      </c>
      <c r="V84" s="6" t="s">
        <v>36</v>
      </c>
      <c r="W84" s="6" t="s">
        <v>37</v>
      </c>
      <c r="X84" s="11" t="s">
        <v>41</v>
      </c>
      <c r="Y84" s="6" t="s">
        <v>10</v>
      </c>
      <c r="Z84" s="6" t="s">
        <v>11</v>
      </c>
      <c r="AA84" s="6" t="s">
        <v>11</v>
      </c>
    </row>
    <row r="85" spans="1:27" x14ac:dyDescent="0.25">
      <c r="F85" s="9"/>
      <c r="Z85" s="17"/>
    </row>
    <row r="86" spans="1:27" ht="15.6" x14ac:dyDescent="0.3">
      <c r="A86" s="4" t="s">
        <v>98</v>
      </c>
      <c r="B86" s="4"/>
      <c r="C86" s="17"/>
      <c r="D86" s="17"/>
      <c r="F86" s="9"/>
      <c r="H86" s="10"/>
      <c r="I86" s="17"/>
      <c r="J86" s="17"/>
      <c r="K86" s="17"/>
      <c r="Q86" s="17"/>
      <c r="Y86" s="17"/>
      <c r="Z86" s="17"/>
    </row>
    <row r="87" spans="1:27" x14ac:dyDescent="0.25">
      <c r="A87" s="9" t="s">
        <v>242</v>
      </c>
      <c r="B87" s="8" t="s">
        <v>245</v>
      </c>
      <c r="C87" s="17">
        <f>847391</f>
        <v>847391</v>
      </c>
      <c r="D87" s="17">
        <v>682194</v>
      </c>
      <c r="E87" s="8">
        <v>80</v>
      </c>
      <c r="F87" s="9" t="s">
        <v>63</v>
      </c>
      <c r="G87" s="9">
        <v>0</v>
      </c>
      <c r="H87" s="12">
        <v>1.2500000000000001E-2</v>
      </c>
      <c r="I87" s="17">
        <f>ROUND((C87*H87),0)</f>
        <v>10592</v>
      </c>
      <c r="J87" s="17">
        <v>485289.4</v>
      </c>
      <c r="K87" s="17">
        <f>D87-J87</f>
        <v>196904.59999999998</v>
      </c>
      <c r="Q87" s="17">
        <f>ROUND((C87*P87),0)</f>
        <v>0</v>
      </c>
      <c r="U87" s="8">
        <v>75</v>
      </c>
      <c r="V87" s="9" t="s">
        <v>63</v>
      </c>
      <c r="W87" s="9">
        <v>0</v>
      </c>
      <c r="X87" s="37">
        <v>1.3299645618138498E-2</v>
      </c>
      <c r="Y87" s="17">
        <f>C87*X87</f>
        <v>11270</v>
      </c>
      <c r="Z87" s="17">
        <v>506681</v>
      </c>
      <c r="AA87" s="17">
        <f>D87-Z87</f>
        <v>175513</v>
      </c>
    </row>
    <row r="88" spans="1:27" x14ac:dyDescent="0.25">
      <c r="A88" s="9" t="s">
        <v>244</v>
      </c>
      <c r="B88" s="8" t="s">
        <v>246</v>
      </c>
      <c r="C88" s="17">
        <v>2587</v>
      </c>
      <c r="D88" s="17">
        <v>160</v>
      </c>
      <c r="E88" s="8">
        <v>70</v>
      </c>
      <c r="F88" s="9" t="s">
        <v>63</v>
      </c>
      <c r="G88" s="9">
        <v>0</v>
      </c>
      <c r="H88" s="12">
        <v>1.43E-2</v>
      </c>
      <c r="I88" s="17">
        <f>ROUND((C88*H88),0)</f>
        <v>37</v>
      </c>
      <c r="J88" s="17">
        <v>2104.7399999999998</v>
      </c>
      <c r="K88" s="17">
        <f>D88-J88</f>
        <v>-1944.7399999999998</v>
      </c>
      <c r="Q88" s="17"/>
      <c r="U88" s="8">
        <v>75</v>
      </c>
      <c r="V88" s="9" t="s">
        <v>63</v>
      </c>
      <c r="W88" s="9">
        <v>0</v>
      </c>
      <c r="X88" s="37">
        <v>1.3142636258214147E-2</v>
      </c>
      <c r="Y88" s="17">
        <f t="shared" ref="Y88:Y121" si="4">C88*X88</f>
        <v>34</v>
      </c>
      <c r="Z88" s="17">
        <v>2035</v>
      </c>
      <c r="AA88" s="17">
        <f>D88-Z88</f>
        <v>-1875</v>
      </c>
    </row>
    <row r="89" spans="1:27" x14ac:dyDescent="0.25">
      <c r="A89" s="9" t="s">
        <v>243</v>
      </c>
      <c r="B89" s="8" t="s">
        <v>247</v>
      </c>
      <c r="C89" s="17">
        <v>3541</v>
      </c>
      <c r="D89" s="17">
        <v>1675</v>
      </c>
      <c r="E89" s="8">
        <v>70</v>
      </c>
      <c r="F89" s="9" t="s">
        <v>63</v>
      </c>
      <c r="G89" s="9">
        <v>0</v>
      </c>
      <c r="H89" s="12">
        <v>1.43E-2</v>
      </c>
      <c r="I89" s="17">
        <f>ROUND((C89*H89),0)</f>
        <v>51</v>
      </c>
      <c r="J89" s="17">
        <v>1704.18</v>
      </c>
      <c r="K89" s="17">
        <f>D89-J89</f>
        <v>-29.180000000000064</v>
      </c>
      <c r="Q89" s="17"/>
      <c r="U89" s="8">
        <v>75</v>
      </c>
      <c r="V89" s="9" t="s">
        <v>63</v>
      </c>
      <c r="W89" s="9">
        <v>0</v>
      </c>
      <c r="X89" s="37">
        <v>1.3273086698672691E-2</v>
      </c>
      <c r="Y89" s="17">
        <f t="shared" si="4"/>
        <v>47</v>
      </c>
      <c r="Z89" s="17">
        <v>1599</v>
      </c>
      <c r="AA89" s="17">
        <f>D89-Z89</f>
        <v>76</v>
      </c>
    </row>
    <row r="90" spans="1:27" x14ac:dyDescent="0.25">
      <c r="A90" s="9"/>
      <c r="C90" s="17"/>
      <c r="D90" s="17"/>
      <c r="F90" s="9"/>
      <c r="G90" s="9"/>
      <c r="H90" s="12"/>
      <c r="I90" s="17"/>
      <c r="J90" s="17"/>
      <c r="K90" s="17"/>
      <c r="Q90" s="17"/>
      <c r="V90" s="9"/>
      <c r="W90" s="9"/>
      <c r="Y90" s="17"/>
      <c r="Z90" s="17"/>
      <c r="AA90" s="17"/>
    </row>
    <row r="91" spans="1:27" x14ac:dyDescent="0.25">
      <c r="A91" s="9" t="s">
        <v>99</v>
      </c>
      <c r="B91" s="8" t="s">
        <v>44</v>
      </c>
      <c r="C91" s="17">
        <v>20152138.68</v>
      </c>
      <c r="D91" s="17">
        <v>3230252</v>
      </c>
      <c r="E91" s="8">
        <v>80</v>
      </c>
      <c r="F91" s="9" t="s">
        <v>91</v>
      </c>
      <c r="G91" s="9">
        <v>-20</v>
      </c>
      <c r="H91" s="12">
        <v>1.4999999999999999E-2</v>
      </c>
      <c r="I91" s="17">
        <f>ROUND((C91*H91),0)</f>
        <v>302282</v>
      </c>
      <c r="J91" s="17">
        <v>3393700.44</v>
      </c>
      <c r="K91" s="17">
        <f>D91-J91</f>
        <v>-163448.43999999994</v>
      </c>
      <c r="Q91" s="17">
        <f>ROUND((C91*P91),0)</f>
        <v>0</v>
      </c>
      <c r="U91" s="8">
        <v>75</v>
      </c>
      <c r="V91" s="9" t="s">
        <v>70</v>
      </c>
      <c r="W91" s="9">
        <v>-30</v>
      </c>
      <c r="X91" s="37">
        <v>1.7290000409106717E-2</v>
      </c>
      <c r="Y91" s="17">
        <f t="shared" si="4"/>
        <v>348430.48602157529</v>
      </c>
      <c r="Z91" s="17">
        <v>4093484</v>
      </c>
      <c r="AA91" s="17">
        <f>D91-Z91</f>
        <v>-863232</v>
      </c>
    </row>
    <row r="92" spans="1:27" x14ac:dyDescent="0.25">
      <c r="C92" s="17"/>
      <c r="D92" s="17"/>
      <c r="G92" s="9"/>
      <c r="H92" s="12"/>
      <c r="I92" s="17"/>
      <c r="J92" s="17"/>
      <c r="K92" s="17"/>
      <c r="Q92" s="17"/>
      <c r="W92" s="9"/>
      <c r="Y92" s="17"/>
      <c r="Z92" s="17"/>
    </row>
    <row r="93" spans="1:27" x14ac:dyDescent="0.25">
      <c r="A93" s="9" t="s">
        <v>221</v>
      </c>
      <c r="B93" s="8" t="s">
        <v>224</v>
      </c>
      <c r="C93" s="17">
        <v>172304860.46000001</v>
      </c>
      <c r="D93" s="17">
        <v>39414993</v>
      </c>
      <c r="E93" s="8">
        <v>55</v>
      </c>
      <c r="F93" s="9" t="s">
        <v>53</v>
      </c>
      <c r="G93" s="9">
        <v>-25</v>
      </c>
      <c r="H93" s="12">
        <v>2.2700000000000001E-2</v>
      </c>
      <c r="I93" s="17">
        <f>ROUND((C93*H93),0)</f>
        <v>3911320</v>
      </c>
      <c r="J93" s="17">
        <v>45151139.479999997</v>
      </c>
      <c r="K93" s="17">
        <f>D93-J93</f>
        <v>-5736146.4799999967</v>
      </c>
      <c r="Q93" s="17">
        <f>ROUND((C93*P93),0)</f>
        <v>0</v>
      </c>
      <c r="U93" s="8">
        <v>54</v>
      </c>
      <c r="V93" s="9" t="s">
        <v>53</v>
      </c>
      <c r="W93" s="9">
        <v>-35</v>
      </c>
      <c r="X93" s="37">
        <v>2.4974966009713027E-2</v>
      </c>
      <c r="Y93" s="17">
        <f t="shared" si="4"/>
        <v>4303308.0332968459</v>
      </c>
      <c r="Z93" s="17">
        <v>49665715</v>
      </c>
      <c r="AA93" s="17">
        <f>D93-Z93</f>
        <v>-10250722</v>
      </c>
    </row>
    <row r="94" spans="1:27" x14ac:dyDescent="0.25">
      <c r="A94" s="9"/>
      <c r="C94" s="17"/>
      <c r="D94" s="17"/>
      <c r="F94" s="9"/>
      <c r="G94" s="9"/>
      <c r="H94" s="12"/>
      <c r="I94" s="17"/>
      <c r="J94" s="17"/>
      <c r="K94" s="17"/>
      <c r="Q94" s="17"/>
      <c r="V94" s="9"/>
      <c r="W94" s="9"/>
      <c r="Y94" s="17"/>
      <c r="Z94" s="17"/>
      <c r="AA94" s="17"/>
    </row>
    <row r="95" spans="1:27" x14ac:dyDescent="0.25">
      <c r="A95" s="9" t="s">
        <v>100</v>
      </c>
      <c r="B95" s="8" t="s">
        <v>101</v>
      </c>
      <c r="C95" s="17">
        <v>2862941.65</v>
      </c>
      <c r="D95" s="17">
        <v>861627</v>
      </c>
      <c r="E95" s="8">
        <v>30</v>
      </c>
      <c r="F95" s="9" t="s">
        <v>91</v>
      </c>
      <c r="G95" s="9">
        <v>-25</v>
      </c>
      <c r="H95" s="12">
        <v>4.1700000000000001E-2</v>
      </c>
      <c r="I95" s="17">
        <f>ROUND((C95*H95),0)</f>
        <v>119385</v>
      </c>
      <c r="J95" s="17">
        <v>1220088.57</v>
      </c>
      <c r="K95" s="17">
        <f>D95-J95</f>
        <v>-358461.57000000007</v>
      </c>
      <c r="Q95" s="17"/>
      <c r="U95" s="8">
        <v>29</v>
      </c>
      <c r="V95" s="9" t="s">
        <v>89</v>
      </c>
      <c r="W95" s="9">
        <v>-30</v>
      </c>
      <c r="X95" s="37">
        <v>4.4814810153336437E-2</v>
      </c>
      <c r="Y95" s="17">
        <f t="shared" si="4"/>
        <v>128302.18652482977</v>
      </c>
      <c r="Z95" s="17">
        <v>1235930</v>
      </c>
      <c r="AA95" s="17">
        <f>D95-Z95</f>
        <v>-374303</v>
      </c>
    </row>
    <row r="96" spans="1:27" x14ac:dyDescent="0.25">
      <c r="A96" s="9"/>
      <c r="C96" s="17"/>
      <c r="D96" s="17"/>
      <c r="F96" s="9"/>
      <c r="G96" s="9"/>
      <c r="H96" s="12"/>
      <c r="I96" s="17"/>
      <c r="J96" s="17"/>
      <c r="K96" s="17"/>
      <c r="Q96" s="17"/>
      <c r="V96" s="9"/>
      <c r="W96" s="9"/>
      <c r="Y96" s="17"/>
      <c r="Z96" s="17"/>
      <c r="AA96" s="17"/>
    </row>
    <row r="97" spans="1:27" x14ac:dyDescent="0.25">
      <c r="A97" s="9" t="s">
        <v>222</v>
      </c>
      <c r="B97" s="8" t="s">
        <v>225</v>
      </c>
      <c r="C97" s="17">
        <v>2055685.5</v>
      </c>
      <c r="D97" s="17">
        <v>552820</v>
      </c>
      <c r="E97" s="8">
        <v>45</v>
      </c>
      <c r="F97" s="9" t="s">
        <v>84</v>
      </c>
      <c r="G97" s="9">
        <v>-25</v>
      </c>
      <c r="H97" s="12">
        <v>2.7799999999999998E-2</v>
      </c>
      <c r="I97" s="17">
        <f>ROUND((C97*H97),0)</f>
        <v>57148</v>
      </c>
      <c r="J97" s="17">
        <v>782581.09</v>
      </c>
      <c r="K97" s="17">
        <f>D97-J97</f>
        <v>-229761.08999999997</v>
      </c>
      <c r="Q97" s="17"/>
      <c r="U97" s="8">
        <v>43</v>
      </c>
      <c r="V97" s="9" t="s">
        <v>84</v>
      </c>
      <c r="W97" s="9">
        <v>-35</v>
      </c>
      <c r="X97" s="37">
        <v>3.1349812929429594E-2</v>
      </c>
      <c r="Y97" s="17">
        <f t="shared" si="4"/>
        <v>64445.355866740938</v>
      </c>
      <c r="Z97" s="17">
        <v>875910</v>
      </c>
      <c r="AA97" s="17">
        <f>D97-Z97</f>
        <v>-323090</v>
      </c>
    </row>
    <row r="98" spans="1:27" x14ac:dyDescent="0.25">
      <c r="A98" s="9"/>
      <c r="C98" s="17"/>
      <c r="D98" s="17"/>
      <c r="G98" s="9"/>
      <c r="H98" s="12"/>
      <c r="I98" s="17"/>
      <c r="J98" s="17"/>
      <c r="K98" s="17"/>
      <c r="Q98" s="17"/>
      <c r="W98" s="9"/>
      <c r="Y98" s="17"/>
      <c r="Z98" s="17"/>
    </row>
    <row r="99" spans="1:27" x14ac:dyDescent="0.25">
      <c r="A99" s="9" t="s">
        <v>223</v>
      </c>
      <c r="B99" s="8" t="s">
        <v>226</v>
      </c>
      <c r="C99" s="17">
        <v>1714042.76</v>
      </c>
      <c r="D99" s="17">
        <v>91929</v>
      </c>
      <c r="E99" s="8">
        <v>32</v>
      </c>
      <c r="F99" s="9" t="s">
        <v>216</v>
      </c>
      <c r="G99" s="9">
        <v>-25</v>
      </c>
      <c r="H99" s="12">
        <v>3.9100000000000003E-2</v>
      </c>
      <c r="I99" s="17">
        <f>ROUND((C99*H99),0)</f>
        <v>67019</v>
      </c>
      <c r="J99" s="17">
        <v>474234.75</v>
      </c>
      <c r="K99" s="17">
        <f>D99-J99</f>
        <v>-382305.75</v>
      </c>
      <c r="Q99" s="17">
        <f>ROUND((C99*P99),0)</f>
        <v>0</v>
      </c>
      <c r="U99" s="8">
        <v>22</v>
      </c>
      <c r="V99" s="9" t="s">
        <v>84</v>
      </c>
      <c r="W99" s="9">
        <v>-35</v>
      </c>
      <c r="X99" s="37">
        <v>6.142475297760714E-2</v>
      </c>
      <c r="Y99" s="17">
        <f t="shared" si="4"/>
        <v>105284.65312605596</v>
      </c>
      <c r="Z99" s="17">
        <v>816816</v>
      </c>
      <c r="AA99" s="17">
        <f>D99-Z99</f>
        <v>-724887</v>
      </c>
    </row>
    <row r="100" spans="1:27" x14ac:dyDescent="0.25">
      <c r="C100" s="17"/>
      <c r="D100" s="17"/>
      <c r="G100" s="9"/>
      <c r="H100" s="12"/>
      <c r="I100" s="17"/>
      <c r="J100" s="17"/>
      <c r="K100" s="17"/>
      <c r="Q100" s="17"/>
      <c r="W100" s="9"/>
      <c r="Y100" s="17"/>
      <c r="Z100" s="17"/>
    </row>
    <row r="101" spans="1:27" x14ac:dyDescent="0.25">
      <c r="A101" s="9" t="s">
        <v>102</v>
      </c>
      <c r="B101" s="8" t="s">
        <v>88</v>
      </c>
      <c r="C101" s="17">
        <v>275526274.99000001</v>
      </c>
      <c r="D101" s="17">
        <v>44967970</v>
      </c>
      <c r="E101" s="8">
        <v>60</v>
      </c>
      <c r="F101" s="9" t="s">
        <v>81</v>
      </c>
      <c r="G101" s="9">
        <v>-35</v>
      </c>
      <c r="H101" s="12">
        <v>2.2499999999999999E-2</v>
      </c>
      <c r="I101" s="17">
        <f>ROUND((C101*H101),0)</f>
        <v>6199341</v>
      </c>
      <c r="J101" s="17">
        <v>48097202.390000001</v>
      </c>
      <c r="K101" s="17">
        <f>D101-J101</f>
        <v>-3129232.3900000006</v>
      </c>
      <c r="Q101" s="17">
        <f>ROUND((C101*P101),0)</f>
        <v>0</v>
      </c>
      <c r="U101" s="8">
        <v>60</v>
      </c>
      <c r="V101" s="9" t="s">
        <v>81</v>
      </c>
      <c r="W101" s="9">
        <v>-50</v>
      </c>
      <c r="X101" s="37">
        <v>2.5050001572873459E-2</v>
      </c>
      <c r="Y101" s="17">
        <f t="shared" si="4"/>
        <v>6901933.6218674658</v>
      </c>
      <c r="Z101" s="17">
        <v>53332722</v>
      </c>
      <c r="AA101" s="17">
        <f>D101-Z101</f>
        <v>-8364752</v>
      </c>
    </row>
    <row r="102" spans="1:27" x14ac:dyDescent="0.25">
      <c r="C102" s="17"/>
      <c r="D102" s="17"/>
      <c r="G102" s="9"/>
      <c r="H102" s="12"/>
      <c r="I102" s="17"/>
      <c r="J102" s="17"/>
      <c r="K102" s="17"/>
      <c r="Q102" s="17"/>
      <c r="W102" s="9"/>
      <c r="Y102" s="17"/>
      <c r="Z102" s="17"/>
    </row>
    <row r="103" spans="1:27" x14ac:dyDescent="0.25">
      <c r="A103" s="9" t="s">
        <v>227</v>
      </c>
      <c r="B103" s="8" t="s">
        <v>104</v>
      </c>
      <c r="C103" s="17">
        <v>235351090.75</v>
      </c>
      <c r="D103" s="17">
        <v>51066652</v>
      </c>
      <c r="E103" s="8">
        <v>70</v>
      </c>
      <c r="F103" s="9" t="s">
        <v>192</v>
      </c>
      <c r="G103" s="9">
        <v>-40</v>
      </c>
      <c r="H103" s="12">
        <v>0.02</v>
      </c>
      <c r="I103" s="17">
        <f>ROUND((C103*H103),0)</f>
        <v>4707022</v>
      </c>
      <c r="J103" s="17">
        <f>33133397.4+15678502.12+290.85</f>
        <v>48812190.369999997</v>
      </c>
      <c r="K103" s="17">
        <f>D103-J103</f>
        <v>2254461.6300000027</v>
      </c>
      <c r="Q103" s="17">
        <f>ROUND((C103*P103),0)</f>
        <v>0</v>
      </c>
      <c r="U103" s="8">
        <v>65</v>
      </c>
      <c r="V103" s="9" t="s">
        <v>80</v>
      </c>
      <c r="W103" s="9">
        <v>-50</v>
      </c>
      <c r="X103" s="37">
        <v>2.3100001763624697E-2</v>
      </c>
      <c r="Y103" s="17">
        <f t="shared" si="4"/>
        <v>5436610.6113959961</v>
      </c>
      <c r="Z103" s="17">
        <v>64470474</v>
      </c>
      <c r="AA103" s="17">
        <f>D103-Z103</f>
        <v>-13403822</v>
      </c>
    </row>
    <row r="104" spans="1:27" x14ac:dyDescent="0.25">
      <c r="C104" s="17"/>
      <c r="D104" s="17"/>
      <c r="G104" s="9"/>
      <c r="H104" s="12"/>
      <c r="I104" s="17"/>
      <c r="J104" s="17"/>
      <c r="K104" s="17"/>
      <c r="Q104" s="17"/>
      <c r="W104" s="9"/>
      <c r="Y104" s="17"/>
      <c r="Z104" s="17"/>
    </row>
    <row r="105" spans="1:27" x14ac:dyDescent="0.25">
      <c r="A105" s="9" t="s">
        <v>228</v>
      </c>
      <c r="B105" s="8" t="s">
        <v>94</v>
      </c>
      <c r="C105" s="17">
        <v>39702411.219999999</v>
      </c>
      <c r="D105" s="17">
        <v>10627917</v>
      </c>
      <c r="E105" s="8">
        <v>80</v>
      </c>
      <c r="F105" s="9" t="s">
        <v>48</v>
      </c>
      <c r="G105" s="9">
        <v>-10</v>
      </c>
      <c r="H105" s="12">
        <v>1.38E-2</v>
      </c>
      <c r="I105" s="17">
        <f>ROUND((C105*H105),0)</f>
        <v>547893</v>
      </c>
      <c r="J105" s="17">
        <f>5125505.61+3902948.55</f>
        <v>9028454.1600000001</v>
      </c>
      <c r="K105" s="17">
        <f>D105-J105</f>
        <v>1599462.8399999999</v>
      </c>
      <c r="Q105" s="17">
        <f>ROUND((C105*P105),0)</f>
        <v>0</v>
      </c>
      <c r="U105" s="8">
        <v>70</v>
      </c>
      <c r="V105" s="9" t="s">
        <v>45</v>
      </c>
      <c r="W105" s="9">
        <v>-50</v>
      </c>
      <c r="X105" s="37">
        <v>2.145000773768703E-2</v>
      </c>
      <c r="Y105" s="17">
        <f t="shared" si="4"/>
        <v>851617.02787383227</v>
      </c>
      <c r="Z105" s="17">
        <v>13312799</v>
      </c>
      <c r="AA105" s="17">
        <f>D105-Z105</f>
        <v>-2684882</v>
      </c>
    </row>
    <row r="106" spans="1:27" x14ac:dyDescent="0.25">
      <c r="C106" s="17"/>
      <c r="D106" s="17"/>
      <c r="G106" s="9"/>
      <c r="H106" s="12"/>
      <c r="I106" s="17"/>
      <c r="J106" s="17"/>
      <c r="K106" s="17"/>
      <c r="Q106" s="17"/>
      <c r="W106" s="9"/>
      <c r="Y106" s="17"/>
      <c r="Z106" s="17"/>
    </row>
    <row r="107" spans="1:27" x14ac:dyDescent="0.25">
      <c r="A107" s="9" t="s">
        <v>236</v>
      </c>
      <c r="B107" s="8" t="s">
        <v>105</v>
      </c>
      <c r="C107" s="17">
        <v>70529512.879999995</v>
      </c>
      <c r="D107" s="17">
        <v>19826658</v>
      </c>
      <c r="E107" s="8">
        <v>75</v>
      </c>
      <c r="F107" s="9" t="s">
        <v>45</v>
      </c>
      <c r="G107" s="9">
        <v>-15</v>
      </c>
      <c r="H107" s="12">
        <v>1.5299999999999999E-2</v>
      </c>
      <c r="I107" s="17">
        <f>ROUND((C107*H107),0)</f>
        <v>1079102</v>
      </c>
      <c r="J107" s="17">
        <f>5502110.08+8506798.82+1485607.63+3125594.36</f>
        <v>18620110.890000001</v>
      </c>
      <c r="K107" s="17">
        <f>D107-J107</f>
        <v>1206547.1099999994</v>
      </c>
      <c r="Q107" s="17">
        <f>ROUND((C107*P107),0)</f>
        <v>0</v>
      </c>
      <c r="U107" s="8">
        <v>65</v>
      </c>
      <c r="V107" s="9" t="s">
        <v>70</v>
      </c>
      <c r="W107" s="9">
        <v>-40</v>
      </c>
      <c r="X107" s="37">
        <v>2.156000135813085E-2</v>
      </c>
      <c r="Y107" s="17">
        <f t="shared" si="4"/>
        <v>1520616.3934811072</v>
      </c>
      <c r="Z107" s="17">
        <v>24599005</v>
      </c>
      <c r="AA107" s="17">
        <f>D107-Z107</f>
        <v>-4772347</v>
      </c>
    </row>
    <row r="108" spans="1:27" x14ac:dyDescent="0.25">
      <c r="C108" s="17"/>
      <c r="D108" s="17"/>
      <c r="G108" s="9"/>
      <c r="H108" s="12"/>
      <c r="I108" s="17"/>
      <c r="J108" s="17"/>
      <c r="K108" s="17"/>
      <c r="Q108" s="17"/>
      <c r="W108" s="9"/>
      <c r="Y108" s="17"/>
      <c r="Z108" s="17"/>
    </row>
    <row r="109" spans="1:27" x14ac:dyDescent="0.25">
      <c r="A109" s="9" t="s">
        <v>237</v>
      </c>
      <c r="B109" s="8" t="s">
        <v>106</v>
      </c>
      <c r="C109" s="17">
        <v>134659444.56</v>
      </c>
      <c r="D109" s="17">
        <v>39010446</v>
      </c>
      <c r="E109" s="8">
        <v>41</v>
      </c>
      <c r="F109" s="9" t="s">
        <v>216</v>
      </c>
      <c r="G109" s="9">
        <v>-10</v>
      </c>
      <c r="H109" s="12">
        <v>2.6800000000000001E-2</v>
      </c>
      <c r="I109" s="17">
        <f>ROUND((C109*H109),0)</f>
        <v>3608873</v>
      </c>
      <c r="J109" s="17">
        <f>26189324.84+16111900.28+590007.82+1865.05+1080310.55+609037.39</f>
        <v>44582445.929999992</v>
      </c>
      <c r="K109" s="17">
        <f>D109-J109</f>
        <v>-5571999.9299999923</v>
      </c>
      <c r="Q109" s="17">
        <f>ROUND((C109*P109),0)</f>
        <v>0</v>
      </c>
      <c r="U109" s="8">
        <v>41</v>
      </c>
      <c r="V109" s="9" t="s">
        <v>216</v>
      </c>
      <c r="W109" s="9">
        <v>-15</v>
      </c>
      <c r="X109" s="37">
        <v>2.8054758052029775E-2</v>
      </c>
      <c r="Y109" s="17">
        <f t="shared" si="4"/>
        <v>3777838.1365515171</v>
      </c>
      <c r="Z109" s="17">
        <v>46429647</v>
      </c>
      <c r="AA109" s="17">
        <f>D109-Z109</f>
        <v>-7419201</v>
      </c>
    </row>
    <row r="110" spans="1:27" x14ac:dyDescent="0.25">
      <c r="C110" s="17"/>
      <c r="D110" s="17"/>
      <c r="G110" s="9"/>
      <c r="H110" s="12"/>
      <c r="I110" s="17"/>
      <c r="J110" s="17"/>
      <c r="K110" s="17"/>
      <c r="Q110" s="17"/>
      <c r="W110" s="9"/>
      <c r="Y110" s="17"/>
      <c r="Z110" s="17"/>
    </row>
    <row r="111" spans="1:27" x14ac:dyDescent="0.25">
      <c r="A111" s="9" t="s">
        <v>107</v>
      </c>
      <c r="B111" s="8" t="s">
        <v>108</v>
      </c>
      <c r="C111" s="17">
        <v>38555636.689999998</v>
      </c>
      <c r="D111" s="17">
        <v>18361286</v>
      </c>
      <c r="E111" s="8">
        <v>65</v>
      </c>
      <c r="F111" s="9" t="s">
        <v>53</v>
      </c>
      <c r="G111" s="9">
        <v>-60</v>
      </c>
      <c r="H111" s="12">
        <v>2.46E-2</v>
      </c>
      <c r="I111" s="17">
        <f>ROUND((C111*H111),0)</f>
        <v>948469</v>
      </c>
      <c r="J111" s="17">
        <v>16313510.76</v>
      </c>
      <c r="K111" s="17">
        <f>D111-J111</f>
        <v>2047775.2400000002</v>
      </c>
      <c r="Q111" s="17">
        <f>ROUND((C111*P111),0)</f>
        <v>0</v>
      </c>
      <c r="U111" s="8">
        <v>60</v>
      </c>
      <c r="V111" s="9" t="s">
        <v>53</v>
      </c>
      <c r="W111" s="9">
        <v>-100</v>
      </c>
      <c r="X111" s="37">
        <v>3.3400008554556687E-2</v>
      </c>
      <c r="Y111" s="17">
        <f t="shared" si="4"/>
        <v>1287758.5952723797</v>
      </c>
      <c r="Z111" s="17">
        <v>21903012</v>
      </c>
      <c r="AA111" s="17">
        <f>D111-Z111</f>
        <v>-3541726</v>
      </c>
    </row>
    <row r="112" spans="1:27" x14ac:dyDescent="0.25">
      <c r="C112" s="17"/>
      <c r="D112" s="17"/>
      <c r="G112" s="9"/>
      <c r="H112" s="12"/>
      <c r="I112" s="17"/>
      <c r="J112" s="17"/>
      <c r="K112" s="17"/>
      <c r="Q112" s="17"/>
      <c r="W112" s="9"/>
      <c r="Y112" s="17"/>
      <c r="Z112" s="17"/>
    </row>
    <row r="113" spans="1:27" x14ac:dyDescent="0.25">
      <c r="A113" s="9" t="s">
        <v>229</v>
      </c>
      <c r="B113" s="8" t="s">
        <v>109</v>
      </c>
      <c r="C113" s="17">
        <v>13206536.75</v>
      </c>
      <c r="D113" s="17">
        <v>4004033</v>
      </c>
      <c r="E113" s="8">
        <v>65</v>
      </c>
      <c r="F113" s="9" t="s">
        <v>53</v>
      </c>
      <c r="G113" s="9">
        <v>-10</v>
      </c>
      <c r="H113" s="12">
        <v>1.6899999999999998E-2</v>
      </c>
      <c r="I113" s="17">
        <f>ROUND((C113*H113),0)</f>
        <v>223190</v>
      </c>
      <c r="J113" s="17">
        <f>2396091.06+264026.07</f>
        <v>2660117.13</v>
      </c>
      <c r="K113" s="17">
        <f>D113-J113</f>
        <v>1343915.87</v>
      </c>
      <c r="Q113" s="17">
        <f>ROUND((C113*P113),0)</f>
        <v>0</v>
      </c>
      <c r="U113" s="8">
        <v>60</v>
      </c>
      <c r="V113" s="9" t="s">
        <v>53</v>
      </c>
      <c r="W113" s="9">
        <v>-40</v>
      </c>
      <c r="X113" s="37">
        <v>2.3380046599976587E-2</v>
      </c>
      <c r="Y113" s="17">
        <f t="shared" si="4"/>
        <v>308769.44463930337</v>
      </c>
      <c r="Z113" s="17">
        <v>3646582</v>
      </c>
      <c r="AA113" s="17">
        <f>D113-Z113</f>
        <v>357451</v>
      </c>
    </row>
    <row r="114" spans="1:27" x14ac:dyDescent="0.25">
      <c r="C114" s="17"/>
      <c r="D114" s="17"/>
      <c r="G114" s="9"/>
      <c r="H114" s="12"/>
      <c r="I114" s="17"/>
      <c r="J114" s="17"/>
      <c r="K114" s="17"/>
      <c r="Q114" s="17"/>
      <c r="W114" s="9"/>
      <c r="Y114" s="17"/>
      <c r="Z114" s="17"/>
    </row>
    <row r="115" spans="1:27" x14ac:dyDescent="0.25">
      <c r="A115" s="9" t="s">
        <v>230</v>
      </c>
      <c r="B115" s="8" t="s">
        <v>110</v>
      </c>
      <c r="C115" s="17">
        <v>46949067.090000004</v>
      </c>
      <c r="D115" s="17">
        <v>10983695</v>
      </c>
      <c r="E115" s="8">
        <v>30</v>
      </c>
      <c r="F115" s="9" t="s">
        <v>103</v>
      </c>
      <c r="G115" s="9">
        <v>0</v>
      </c>
      <c r="H115" s="12">
        <v>3.3300000000000003E-2</v>
      </c>
      <c r="I115" s="17">
        <f>ROUND((C115*H115),0)</f>
        <v>1563404</v>
      </c>
      <c r="J115" s="17">
        <f>6084872.84+1212224.97+4796748.71</f>
        <v>12093846.52</v>
      </c>
      <c r="K115" s="17">
        <f>D115-J115</f>
        <v>-1110151.5199999996</v>
      </c>
      <c r="Q115" s="17">
        <f>ROUND((C115*P115),0)</f>
        <v>0</v>
      </c>
      <c r="U115" s="8">
        <v>33</v>
      </c>
      <c r="V115" s="9" t="s">
        <v>81</v>
      </c>
      <c r="W115" s="9">
        <v>0</v>
      </c>
      <c r="X115" s="37">
        <v>2.987349133293225E-2</v>
      </c>
      <c r="Y115" s="17">
        <f t="shared" si="4"/>
        <v>1402532.5488023697</v>
      </c>
      <c r="Z115" s="17">
        <v>12831735</v>
      </c>
      <c r="AA115" s="17">
        <f>D115-Z115</f>
        <v>-1848040</v>
      </c>
    </row>
    <row r="116" spans="1:27" x14ac:dyDescent="0.25">
      <c r="C116" s="17"/>
      <c r="D116" s="17"/>
      <c r="G116" s="9"/>
      <c r="H116" s="12"/>
      <c r="I116" s="17"/>
      <c r="J116" s="17"/>
      <c r="K116" s="17"/>
      <c r="Q116" s="17"/>
      <c r="W116" s="9"/>
      <c r="Y116" s="17"/>
      <c r="Z116" s="17"/>
    </row>
    <row r="117" spans="1:27" x14ac:dyDescent="0.25">
      <c r="A117" s="9" t="s">
        <v>231</v>
      </c>
      <c r="B117" s="8" t="s">
        <v>111</v>
      </c>
      <c r="C117" s="17">
        <v>7230020.3799999999</v>
      </c>
      <c r="D117" s="17">
        <v>2520207</v>
      </c>
      <c r="E117" s="8">
        <v>30</v>
      </c>
      <c r="F117" s="9" t="s">
        <v>193</v>
      </c>
      <c r="G117" s="9">
        <v>-15</v>
      </c>
      <c r="H117" s="12">
        <v>3.8300000000000001E-2</v>
      </c>
      <c r="I117" s="17">
        <f>ROUND((C117*H117),0)</f>
        <v>276910</v>
      </c>
      <c r="J117" s="17">
        <f>1366118.76+2218.7</f>
        <v>1368337.46</v>
      </c>
      <c r="K117" s="17">
        <f>D117-J117</f>
        <v>1151869.54</v>
      </c>
      <c r="Q117" s="17">
        <f>ROUND((C117*P117),0)</f>
        <v>0</v>
      </c>
      <c r="U117" s="8">
        <v>23</v>
      </c>
      <c r="V117" s="9" t="s">
        <v>81</v>
      </c>
      <c r="W117" s="9">
        <v>-20</v>
      </c>
      <c r="X117" s="37">
        <v>5.1380566707665172E-2</v>
      </c>
      <c r="Y117" s="17">
        <f t="shared" si="4"/>
        <v>371482.54443236871</v>
      </c>
      <c r="Z117" s="17">
        <v>2727253</v>
      </c>
      <c r="AA117" s="17">
        <f>D117-Z117</f>
        <v>-207046</v>
      </c>
    </row>
    <row r="118" spans="1:27" x14ac:dyDescent="0.25">
      <c r="C118" s="17"/>
      <c r="D118" s="17"/>
      <c r="G118" s="9"/>
      <c r="H118" s="12"/>
      <c r="I118" s="17"/>
      <c r="J118" s="17"/>
      <c r="K118" s="17"/>
      <c r="Q118" s="17"/>
      <c r="W118" s="9"/>
      <c r="Y118" s="17"/>
      <c r="Z118" s="17"/>
    </row>
    <row r="119" spans="1:27" x14ac:dyDescent="0.25">
      <c r="A119" s="9" t="s">
        <v>201</v>
      </c>
      <c r="B119" s="8" t="s">
        <v>112</v>
      </c>
      <c r="C119" s="17">
        <v>278776</v>
      </c>
      <c r="D119" s="17">
        <v>93535</v>
      </c>
      <c r="E119" s="8">
        <v>7</v>
      </c>
      <c r="F119" s="9" t="s">
        <v>80</v>
      </c>
      <c r="G119" s="9">
        <v>5</v>
      </c>
      <c r="H119" s="12">
        <v>0.13569999999999999</v>
      </c>
      <c r="I119" s="17">
        <f>ROUND((C119*H119),0)</f>
        <v>37830</v>
      </c>
      <c r="J119" s="17">
        <v>264837.2</v>
      </c>
      <c r="K119" s="17">
        <f>D119-J119</f>
        <v>-171302.2</v>
      </c>
      <c r="Q119" s="17">
        <f>ROUND((C119*P119),0)</f>
        <v>0</v>
      </c>
      <c r="U119" s="8">
        <v>8</v>
      </c>
      <c r="V119" s="9" t="s">
        <v>241</v>
      </c>
      <c r="W119" s="9">
        <v>0</v>
      </c>
      <c r="X119" s="37">
        <v>0.125</v>
      </c>
      <c r="Y119" s="17">
        <f t="shared" si="4"/>
        <v>34847</v>
      </c>
      <c r="Z119" s="17">
        <v>233406</v>
      </c>
      <c r="AA119" s="17">
        <f>D119-Z119</f>
        <v>-139871</v>
      </c>
    </row>
    <row r="120" spans="1:27" x14ac:dyDescent="0.25">
      <c r="C120" s="17"/>
      <c r="D120" s="17"/>
      <c r="G120" s="9"/>
      <c r="H120" s="12"/>
      <c r="I120" s="17"/>
      <c r="J120" s="17"/>
      <c r="K120" s="17"/>
      <c r="Q120" s="17"/>
      <c r="W120" s="9"/>
      <c r="Y120" s="17"/>
      <c r="Z120" s="17"/>
    </row>
    <row r="121" spans="1:27" ht="45" x14ac:dyDescent="0.25">
      <c r="A121" s="40" t="s">
        <v>194</v>
      </c>
      <c r="B121" s="8" t="s">
        <v>113</v>
      </c>
      <c r="C121" s="17">
        <v>16136516.58</v>
      </c>
      <c r="D121" s="17">
        <v>4394435</v>
      </c>
      <c r="E121" s="8">
        <v>35</v>
      </c>
      <c r="F121" s="9" t="s">
        <v>193</v>
      </c>
      <c r="G121" s="9">
        <v>-15</v>
      </c>
      <c r="H121" s="12">
        <v>3.2899999999999999E-2</v>
      </c>
      <c r="I121" s="17">
        <f>ROUND((C121*H121),0)</f>
        <v>530891</v>
      </c>
      <c r="J121" s="17">
        <f>2120817.27+156296.73+46258.52+40887.37+9009.94+89515.09+73819.39+5257.36+72899.12+31592.01+8550.49</f>
        <v>2654903.29</v>
      </c>
      <c r="K121" s="17">
        <f>D121-J121</f>
        <v>1739531.71</v>
      </c>
      <c r="Q121" s="17">
        <f>ROUND((C121*P121),0)</f>
        <v>0</v>
      </c>
      <c r="U121" s="8">
        <v>33</v>
      </c>
      <c r="V121" s="9" t="s">
        <v>81</v>
      </c>
      <c r="W121" s="9">
        <v>-25</v>
      </c>
      <c r="X121" s="37">
        <v>3.7475882230516191E-2</v>
      </c>
      <c r="Y121" s="20">
        <f t="shared" si="4"/>
        <v>604730.19496285194</v>
      </c>
      <c r="Z121" s="17">
        <v>4789891</v>
      </c>
      <c r="AA121" s="17">
        <f>D121-Z121</f>
        <v>-395456</v>
      </c>
    </row>
    <row r="122" spans="1:27" x14ac:dyDescent="0.25">
      <c r="C122" s="29"/>
      <c r="D122" s="29"/>
      <c r="E122" s="29"/>
      <c r="F122" s="29"/>
      <c r="G122" s="29"/>
      <c r="H122" s="13"/>
      <c r="I122" s="29"/>
      <c r="J122" s="29"/>
      <c r="K122" s="29"/>
      <c r="Q122" s="17"/>
      <c r="U122" s="29"/>
      <c r="V122" s="29"/>
      <c r="W122" s="29"/>
      <c r="X122" s="39"/>
      <c r="Y122" s="17"/>
      <c r="Z122" s="29"/>
      <c r="AA122" s="29"/>
    </row>
    <row r="123" spans="1:27" ht="16.2" thickBot="1" x14ac:dyDescent="0.35">
      <c r="B123" s="4" t="s">
        <v>115</v>
      </c>
      <c r="C123" s="17">
        <f>SUM(C87:C121)</f>
        <v>1078068475.9400001</v>
      </c>
      <c r="D123" s="17">
        <f>SUM(D87:D121)</f>
        <v>250692484</v>
      </c>
      <c r="F123" s="9"/>
      <c r="H123" s="12">
        <f>ROUND((I123/C123),4)</f>
        <v>2.24E-2</v>
      </c>
      <c r="I123" s="17">
        <f>SUM(I87:I121)</f>
        <v>24190759</v>
      </c>
      <c r="J123" s="17">
        <f>SUM(J87:J121)</f>
        <v>256006798.74999997</v>
      </c>
      <c r="K123" s="17">
        <f>SUM(K87:K121)</f>
        <v>-5314314.749999987</v>
      </c>
      <c r="Q123" s="17">
        <f>SUM(Q87:Q121)</f>
        <v>0</v>
      </c>
      <c r="X123" s="37">
        <v>2.5529E-2</v>
      </c>
      <c r="Y123" s="17">
        <f>C123*X123</f>
        <v>27522010.12227226</v>
      </c>
      <c r="Z123" s="17">
        <f>SUM(Z87:Z121)</f>
        <v>305474696</v>
      </c>
      <c r="AA123" s="17">
        <f>SUM(AA87:AA121)</f>
        <v>-54782212</v>
      </c>
    </row>
    <row r="124" spans="1:27" ht="15.6" thickTop="1" x14ac:dyDescent="0.25">
      <c r="C124" s="36"/>
      <c r="D124" s="36"/>
      <c r="E124" s="36"/>
      <c r="F124" s="36"/>
      <c r="G124" s="36"/>
      <c r="H124" s="14"/>
      <c r="I124" s="36"/>
      <c r="J124" s="36"/>
      <c r="K124" s="36"/>
      <c r="Q124" s="17"/>
      <c r="U124" s="36"/>
      <c r="V124" s="36"/>
      <c r="W124" s="36"/>
      <c r="X124" s="41"/>
      <c r="Y124" s="36"/>
      <c r="Z124" s="36"/>
      <c r="AA124" s="36"/>
    </row>
    <row r="125" spans="1:27" x14ac:dyDescent="0.25">
      <c r="C125" s="17"/>
      <c r="D125" s="17"/>
      <c r="E125" s="17"/>
      <c r="F125" s="17"/>
      <c r="G125" s="17"/>
      <c r="H125" s="12"/>
      <c r="I125" s="17"/>
      <c r="J125" s="17"/>
      <c r="K125" s="17"/>
      <c r="Q125" s="17"/>
      <c r="U125" s="17"/>
      <c r="V125" s="17"/>
      <c r="W125" s="17"/>
      <c r="Y125" s="17"/>
      <c r="Z125" s="17"/>
      <c r="AA125" s="17"/>
    </row>
    <row r="126" spans="1:27" x14ac:dyDescent="0.25">
      <c r="B126" s="8" t="s">
        <v>116</v>
      </c>
      <c r="C126" s="17"/>
      <c r="D126" s="17"/>
      <c r="E126" s="17"/>
      <c r="F126" s="17"/>
      <c r="G126" s="17"/>
      <c r="H126" s="12"/>
      <c r="I126" s="17"/>
      <c r="J126" s="17"/>
      <c r="K126" s="17"/>
      <c r="Q126" s="17"/>
      <c r="U126" s="17"/>
      <c r="V126" s="17"/>
      <c r="W126" s="17"/>
      <c r="Y126" s="17"/>
      <c r="Z126" s="17"/>
      <c r="AA126" s="17"/>
    </row>
    <row r="127" spans="1:27" x14ac:dyDescent="0.25">
      <c r="A127" s="9" t="s">
        <v>195</v>
      </c>
      <c r="B127" s="8" t="s">
        <v>60</v>
      </c>
      <c r="C127" s="17">
        <v>3791907.27</v>
      </c>
      <c r="D127" s="17">
        <v>598801</v>
      </c>
      <c r="E127" s="17">
        <v>40</v>
      </c>
      <c r="F127" s="9" t="s">
        <v>193</v>
      </c>
      <c r="G127" s="9">
        <v>-40</v>
      </c>
      <c r="H127" s="12">
        <v>3.5000000000000003E-2</v>
      </c>
      <c r="I127" s="17">
        <f>ROUND((C127*H127),0)</f>
        <v>132717</v>
      </c>
      <c r="J127" s="17">
        <f>196641.58+9458.82+42866.4+136406.15</f>
        <v>385372.94999999995</v>
      </c>
      <c r="K127" s="17">
        <f>D127-J127</f>
        <v>213428.05000000005</v>
      </c>
      <c r="Q127" s="17"/>
      <c r="U127" s="8">
        <v>40</v>
      </c>
      <c r="V127" s="9" t="s">
        <v>80</v>
      </c>
      <c r="W127" s="9">
        <v>-25</v>
      </c>
      <c r="X127" s="37">
        <v>3.1249708972223379E-2</v>
      </c>
      <c r="Y127" s="17">
        <f>C127*X127</f>
        <v>118495.99863715806</v>
      </c>
      <c r="Z127" s="17">
        <v>601215</v>
      </c>
      <c r="AA127" s="17">
        <f>D127-Z127</f>
        <v>-2414</v>
      </c>
    </row>
    <row r="128" spans="1:27" x14ac:dyDescent="0.25">
      <c r="C128" s="17"/>
      <c r="D128" s="17"/>
      <c r="E128" s="17"/>
      <c r="F128" s="17"/>
      <c r="G128" s="17"/>
      <c r="H128" s="12"/>
      <c r="I128" s="17"/>
      <c r="J128" s="17"/>
      <c r="K128" s="17"/>
      <c r="Q128" s="17"/>
      <c r="U128" s="17"/>
      <c r="V128" s="17"/>
      <c r="W128" s="17"/>
      <c r="Y128" s="17"/>
      <c r="Z128" s="17"/>
      <c r="AA128" s="17"/>
    </row>
    <row r="129" spans="1:30" ht="15.6" x14ac:dyDescent="0.3">
      <c r="B129" s="4" t="s">
        <v>280</v>
      </c>
      <c r="C129" s="17">
        <f>SUM(C26+C42+C70+C123)+C127</f>
        <v>1726487095.8200002</v>
      </c>
      <c r="D129" s="17">
        <f>SUM(D26+D42+D70+D123)+D127</f>
        <v>364192229</v>
      </c>
      <c r="F129" s="9"/>
      <c r="H129" s="12">
        <f>ROUND((I129/C129),4)</f>
        <v>2.2499999999999999E-2</v>
      </c>
      <c r="I129" s="17">
        <f>SUM(I26+I42+I70+I123)+I127</f>
        <v>38863637</v>
      </c>
      <c r="J129" s="17">
        <f>SUM(J26+J42+J70+J123)+J127</f>
        <v>370559526.61999995</v>
      </c>
      <c r="K129" s="17">
        <f>SUM(K26+K42+K70+K123)+K127</f>
        <v>-6532850.8499999857</v>
      </c>
      <c r="Q129" s="17">
        <f>SUM(Q22+Q38+Q66+Q119)</f>
        <v>0</v>
      </c>
      <c r="X129" s="37">
        <v>2.5211000000000001E-2</v>
      </c>
      <c r="Y129" s="17">
        <f>C129*X129</f>
        <v>43526466.172718026</v>
      </c>
      <c r="Z129" s="17">
        <f>SUM(Z26+Z42+Z70+Z123)+Z127</f>
        <v>430582841</v>
      </c>
      <c r="AA129" s="17">
        <f>SUM(AA26+AA42+AA70+AA123)+AA127</f>
        <v>-66390612</v>
      </c>
    </row>
    <row r="130" spans="1:30" x14ac:dyDescent="0.25">
      <c r="C130" s="17"/>
      <c r="D130" s="17"/>
      <c r="E130" s="17"/>
      <c r="F130" s="17"/>
      <c r="G130" s="17"/>
      <c r="H130" s="12"/>
      <c r="I130" s="17"/>
      <c r="J130" s="17"/>
      <c r="K130" s="17"/>
      <c r="Q130" s="17"/>
      <c r="U130" s="17"/>
      <c r="V130" s="17"/>
      <c r="W130" s="17"/>
      <c r="Y130" s="17"/>
      <c r="Z130" s="17"/>
      <c r="AA130" s="17"/>
    </row>
    <row r="131" spans="1:30" x14ac:dyDescent="0.25">
      <c r="A131" s="9" t="s">
        <v>255</v>
      </c>
      <c r="B131" s="8" t="s">
        <v>256</v>
      </c>
      <c r="C131" s="17">
        <v>2416109</v>
      </c>
      <c r="D131" s="17">
        <v>327916.01</v>
      </c>
      <c r="E131" s="17">
        <v>35</v>
      </c>
      <c r="F131" s="26" t="s">
        <v>163</v>
      </c>
      <c r="G131" s="9">
        <v>0</v>
      </c>
      <c r="H131" s="12">
        <v>2.8570999999999999E-2</v>
      </c>
      <c r="I131" s="17">
        <f>5752.61*12</f>
        <v>69031.319999999992</v>
      </c>
      <c r="J131" s="17">
        <v>327916</v>
      </c>
      <c r="K131" s="17">
        <f>D131-J131</f>
        <v>1.0000000009313226E-2</v>
      </c>
      <c r="Q131" s="17"/>
      <c r="U131" s="17">
        <v>35</v>
      </c>
      <c r="V131" s="26" t="s">
        <v>163</v>
      </c>
      <c r="W131" s="9">
        <v>0</v>
      </c>
      <c r="X131" s="37">
        <v>2.8571277206450533E-2</v>
      </c>
      <c r="Y131" s="17">
        <f>C131*X131</f>
        <v>69031.319999999992</v>
      </c>
      <c r="Z131" s="17">
        <v>327916</v>
      </c>
      <c r="AA131" s="17">
        <f>D131-Z131</f>
        <v>1.0000000009313226E-2</v>
      </c>
    </row>
    <row r="132" spans="1:30" x14ac:dyDescent="0.25">
      <c r="C132" s="17"/>
      <c r="D132" s="17"/>
      <c r="E132" s="17"/>
      <c r="F132" s="17"/>
      <c r="G132" s="9"/>
      <c r="H132" s="12"/>
      <c r="I132" s="17"/>
      <c r="J132" s="17"/>
      <c r="K132" s="17"/>
      <c r="Q132" s="17"/>
      <c r="U132" s="17"/>
      <c r="V132" s="17"/>
      <c r="W132" s="17"/>
      <c r="Y132" s="17"/>
      <c r="Z132" s="17"/>
      <c r="AA132" s="17"/>
    </row>
    <row r="133" spans="1:30" ht="15.6" x14ac:dyDescent="0.3">
      <c r="B133" s="4" t="s">
        <v>117</v>
      </c>
      <c r="C133" s="17">
        <f>SUM(C26+C42+C70+C123)+C127+C131</f>
        <v>1728903204.8200002</v>
      </c>
      <c r="D133" s="17">
        <f>SUM(D26+D42+D70+D123)+D127+D131</f>
        <v>364520145.00999999</v>
      </c>
      <c r="F133" s="9"/>
      <c r="H133" s="12">
        <f>ROUND((I133/C133),4)</f>
        <v>2.2499999999999999E-2</v>
      </c>
      <c r="I133" s="17">
        <f>SUM(I26+I42+I70+I123)+I127+I131</f>
        <v>38932668.32</v>
      </c>
      <c r="J133" s="17">
        <f>SUM(J26+J42+J70+J123)+J127+J131</f>
        <v>370887442.61999995</v>
      </c>
      <c r="K133" s="17">
        <f>SUM(K26+K42+K70+K123)+K127+K131</f>
        <v>-6532850.8399999859</v>
      </c>
      <c r="Q133" s="17">
        <f>SUM(Q26+Q42+Q70+Q123)</f>
        <v>4509969</v>
      </c>
      <c r="X133" s="37">
        <v>2.5218000000000001E-2</v>
      </c>
      <c r="Y133" s="17">
        <f>C133*X133</f>
        <v>43599481.019150764</v>
      </c>
      <c r="Z133" s="17">
        <f>SUM(Z26+Z42+Z70+Z123)+Z127+Z131</f>
        <v>430910757</v>
      </c>
      <c r="AA133" s="17">
        <f>SUM(AA26+AA42+AA70+AA123)+AA127</f>
        <v>-66390612</v>
      </c>
    </row>
    <row r="134" spans="1:30" x14ac:dyDescent="0.25">
      <c r="C134" s="17"/>
      <c r="D134" s="17"/>
      <c r="F134" s="9"/>
      <c r="H134" s="10"/>
      <c r="I134" s="17"/>
      <c r="J134" s="17"/>
      <c r="K134" s="17"/>
      <c r="Q134" s="17"/>
      <c r="Y134" s="17"/>
      <c r="Z134" s="17"/>
    </row>
    <row r="135" spans="1:30" x14ac:dyDescent="0.25">
      <c r="B135" s="19"/>
      <c r="C135" s="17"/>
      <c r="D135" s="17"/>
      <c r="F135" s="9"/>
      <c r="H135" s="10"/>
      <c r="I135" s="17"/>
      <c r="J135" s="17"/>
      <c r="K135" s="17"/>
      <c r="Q135" s="17"/>
    </row>
    <row r="136" spans="1:30" x14ac:dyDescent="0.25">
      <c r="C136" s="17"/>
      <c r="D136" s="17"/>
      <c r="F136" s="9"/>
      <c r="H136" s="10"/>
      <c r="I136" s="17"/>
      <c r="J136" s="17"/>
      <c r="K136" s="17"/>
      <c r="Q136" s="17"/>
    </row>
    <row r="137" spans="1:30" x14ac:dyDescent="0.25">
      <c r="A137" s="8" t="s">
        <v>265</v>
      </c>
      <c r="C137" s="17"/>
      <c r="D137" s="17"/>
      <c r="F137" s="9"/>
      <c r="H137" s="10"/>
      <c r="I137" s="17"/>
      <c r="J137" s="17"/>
      <c r="K137" s="17"/>
      <c r="L137" s="53"/>
      <c r="M137" s="53"/>
      <c r="N137" s="53"/>
      <c r="O137" s="53"/>
      <c r="P137" s="53"/>
      <c r="Q137" s="54"/>
      <c r="R137" s="53"/>
      <c r="S137" s="53"/>
      <c r="T137" s="53"/>
      <c r="AB137" s="53"/>
      <c r="AC137" s="53"/>
      <c r="AD137" s="53"/>
    </row>
    <row r="138" spans="1:30" x14ac:dyDescent="0.25">
      <c r="C138" s="17"/>
      <c r="D138" s="17"/>
      <c r="F138" s="9"/>
      <c r="H138" s="10"/>
      <c r="I138" s="17"/>
      <c r="J138" s="17"/>
      <c r="K138" s="17"/>
      <c r="Q138" s="17"/>
    </row>
    <row r="139" spans="1:30" x14ac:dyDescent="0.25">
      <c r="C139" s="17"/>
      <c r="D139" s="17"/>
      <c r="F139" s="9"/>
      <c r="H139" s="10"/>
      <c r="I139" s="17"/>
      <c r="J139" s="17"/>
      <c r="K139" s="17"/>
      <c r="Q139" s="17"/>
    </row>
    <row r="140" spans="1:30" x14ac:dyDescent="0.25">
      <c r="D140" s="17"/>
      <c r="F140" s="9"/>
      <c r="H140" s="10"/>
      <c r="I140" s="17"/>
      <c r="J140" s="17"/>
      <c r="K140" s="17"/>
      <c r="Q140" s="17"/>
    </row>
    <row r="141" spans="1:30" x14ac:dyDescent="0.25">
      <c r="C141" s="17"/>
      <c r="D141" s="17"/>
      <c r="H141" s="10"/>
      <c r="I141" s="17"/>
      <c r="J141" s="17"/>
      <c r="K141" s="17"/>
      <c r="Q141" s="17"/>
    </row>
    <row r="142" spans="1:30" x14ac:dyDescent="0.25">
      <c r="C142" s="17"/>
      <c r="D142" s="17"/>
      <c r="H142" s="10"/>
      <c r="I142" s="17"/>
      <c r="J142" s="17"/>
      <c r="K142" s="17"/>
      <c r="Q142" s="17"/>
    </row>
    <row r="143" spans="1:30" x14ac:dyDescent="0.25">
      <c r="C143" s="17"/>
      <c r="D143" s="17"/>
      <c r="H143" s="10"/>
      <c r="I143" s="17"/>
      <c r="J143" s="17"/>
      <c r="K143" s="17"/>
      <c r="Q143" s="17"/>
    </row>
    <row r="144" spans="1:30" x14ac:dyDescent="0.25">
      <c r="C144" s="17"/>
      <c r="D144" s="17"/>
      <c r="H144" s="10"/>
      <c r="I144" s="17"/>
      <c r="J144" s="17"/>
      <c r="K144" s="17"/>
      <c r="Q144" s="17"/>
    </row>
    <row r="145" spans="3:17" x14ac:dyDescent="0.25">
      <c r="C145" s="17"/>
      <c r="D145" s="17"/>
      <c r="H145" s="10"/>
      <c r="I145" s="17"/>
      <c r="J145" s="17"/>
      <c r="K145" s="17"/>
      <c r="Q145" s="17"/>
    </row>
    <row r="146" spans="3:17" x14ac:dyDescent="0.25">
      <c r="C146" s="17"/>
      <c r="D146" s="17"/>
      <c r="H146" s="10"/>
      <c r="I146" s="17"/>
      <c r="J146" s="17"/>
      <c r="K146" s="17"/>
      <c r="Q146" s="17"/>
    </row>
    <row r="147" spans="3:17" x14ac:dyDescent="0.25">
      <c r="C147" s="17"/>
      <c r="D147" s="17"/>
      <c r="H147" s="10"/>
      <c r="I147" s="17"/>
      <c r="J147" s="17"/>
      <c r="K147" s="17"/>
      <c r="Q147" s="17"/>
    </row>
    <row r="148" spans="3:17" x14ac:dyDescent="0.25">
      <c r="C148" s="17"/>
      <c r="D148" s="17"/>
      <c r="H148" s="10"/>
      <c r="I148" s="17"/>
      <c r="J148" s="17"/>
      <c r="K148" s="17"/>
      <c r="Q148" s="17"/>
    </row>
    <row r="149" spans="3:17" x14ac:dyDescent="0.25">
      <c r="C149" s="17"/>
      <c r="D149" s="17"/>
      <c r="H149" s="10"/>
      <c r="I149" s="17"/>
      <c r="J149" s="17"/>
      <c r="K149" s="17"/>
      <c r="Q149" s="17"/>
    </row>
    <row r="150" spans="3:17" x14ac:dyDescent="0.25">
      <c r="C150" s="17"/>
      <c r="D150" s="17"/>
      <c r="H150" s="10"/>
      <c r="I150" s="17"/>
      <c r="J150" s="17"/>
      <c r="K150" s="17"/>
      <c r="Q150" s="17"/>
    </row>
    <row r="151" spans="3:17" x14ac:dyDescent="0.25">
      <c r="C151" s="17"/>
      <c r="D151" s="17"/>
      <c r="H151" s="10"/>
      <c r="I151" s="17"/>
      <c r="J151" s="17"/>
      <c r="K151" s="17"/>
      <c r="Q151" s="17"/>
    </row>
    <row r="152" spans="3:17" x14ac:dyDescent="0.25">
      <c r="C152" s="17"/>
      <c r="D152" s="17"/>
      <c r="H152" s="10"/>
      <c r="I152" s="17"/>
      <c r="J152" s="17"/>
      <c r="K152" s="17"/>
      <c r="Q152" s="17"/>
    </row>
    <row r="153" spans="3:17" x14ac:dyDescent="0.25">
      <c r="C153" s="17"/>
      <c r="D153" s="17"/>
      <c r="H153" s="10"/>
      <c r="I153" s="17"/>
      <c r="J153" s="17"/>
      <c r="K153" s="17"/>
      <c r="Q153" s="17"/>
    </row>
    <row r="154" spans="3:17" x14ac:dyDescent="0.25">
      <c r="C154" s="17"/>
      <c r="D154" s="17"/>
      <c r="H154" s="10"/>
      <c r="I154" s="17"/>
      <c r="J154" s="17"/>
      <c r="K154" s="17"/>
      <c r="Q154" s="17"/>
    </row>
    <row r="155" spans="3:17" x14ac:dyDescent="0.25">
      <c r="C155" s="17"/>
      <c r="D155" s="17"/>
      <c r="H155" s="10"/>
      <c r="I155" s="17"/>
      <c r="J155" s="17"/>
      <c r="K155" s="17"/>
      <c r="Q155" s="17"/>
    </row>
    <row r="156" spans="3:17" x14ac:dyDescent="0.25">
      <c r="C156" s="17"/>
      <c r="D156" s="17"/>
      <c r="H156" s="10"/>
      <c r="I156" s="17"/>
      <c r="J156" s="17"/>
      <c r="K156" s="17"/>
      <c r="Q156" s="17"/>
    </row>
    <row r="157" spans="3:17" x14ac:dyDescent="0.25">
      <c r="C157" s="17"/>
      <c r="D157" s="17"/>
      <c r="H157" s="10"/>
      <c r="I157" s="17"/>
      <c r="J157" s="17"/>
      <c r="K157" s="17"/>
      <c r="Q157" s="17"/>
    </row>
    <row r="158" spans="3:17" x14ac:dyDescent="0.25">
      <c r="C158" s="17"/>
      <c r="D158" s="17"/>
      <c r="H158" s="10"/>
      <c r="I158" s="17"/>
      <c r="J158" s="17"/>
      <c r="K158" s="17"/>
      <c r="Q158" s="17"/>
    </row>
    <row r="159" spans="3:17" x14ac:dyDescent="0.25">
      <c r="C159" s="17"/>
      <c r="D159" s="17"/>
      <c r="H159" s="10"/>
      <c r="I159" s="17"/>
      <c r="J159" s="17"/>
      <c r="K159" s="17"/>
      <c r="Q159" s="17"/>
    </row>
    <row r="160" spans="3:17" x14ac:dyDescent="0.25">
      <c r="C160" s="17"/>
      <c r="D160" s="17"/>
      <c r="H160" s="10"/>
      <c r="I160" s="17"/>
      <c r="J160" s="17"/>
      <c r="K160" s="17"/>
      <c r="Q160" s="17"/>
    </row>
    <row r="161" spans="3:17" x14ac:dyDescent="0.25">
      <c r="C161" s="17"/>
      <c r="D161" s="17"/>
      <c r="H161" s="10"/>
      <c r="I161" s="17"/>
      <c r="J161" s="17"/>
      <c r="K161" s="17"/>
      <c r="Q161" s="17"/>
    </row>
    <row r="162" spans="3:17" x14ac:dyDescent="0.25">
      <c r="C162" s="17"/>
      <c r="D162" s="17"/>
      <c r="H162" s="10"/>
      <c r="I162" s="17"/>
      <c r="J162" s="17"/>
      <c r="K162" s="17"/>
      <c r="Q162" s="17"/>
    </row>
    <row r="163" spans="3:17" x14ac:dyDescent="0.25">
      <c r="C163" s="17"/>
      <c r="D163" s="17"/>
      <c r="H163" s="10"/>
      <c r="I163" s="17"/>
      <c r="J163" s="17"/>
      <c r="K163" s="17"/>
      <c r="Q163" s="17"/>
    </row>
    <row r="164" spans="3:17" x14ac:dyDescent="0.25">
      <c r="C164" s="17"/>
      <c r="D164" s="17"/>
      <c r="H164" s="10"/>
      <c r="I164" s="17"/>
      <c r="J164" s="17"/>
      <c r="K164" s="17"/>
      <c r="Q164" s="17"/>
    </row>
    <row r="165" spans="3:17" x14ac:dyDescent="0.25">
      <c r="C165" s="17"/>
      <c r="D165" s="17"/>
      <c r="H165" s="10"/>
      <c r="I165" s="17"/>
      <c r="J165" s="17"/>
      <c r="K165" s="17"/>
      <c r="Q165" s="17"/>
    </row>
    <row r="166" spans="3:17" x14ac:dyDescent="0.25">
      <c r="C166" s="17"/>
      <c r="D166" s="17"/>
      <c r="H166" s="10"/>
      <c r="I166" s="17"/>
      <c r="J166" s="17"/>
      <c r="K166" s="17"/>
      <c r="Q166" s="17"/>
    </row>
    <row r="167" spans="3:17" x14ac:dyDescent="0.25">
      <c r="C167" s="17"/>
      <c r="D167" s="17"/>
      <c r="H167" s="10"/>
      <c r="I167" s="17"/>
      <c r="J167" s="17"/>
      <c r="K167" s="17"/>
      <c r="Q167" s="17"/>
    </row>
    <row r="168" spans="3:17" x14ac:dyDescent="0.25">
      <c r="C168" s="17"/>
      <c r="D168" s="17"/>
      <c r="H168" s="10"/>
      <c r="I168" s="17"/>
      <c r="J168" s="17"/>
      <c r="K168" s="17"/>
      <c r="Q168" s="17"/>
    </row>
    <row r="169" spans="3:17" x14ac:dyDescent="0.25">
      <c r="C169" s="17"/>
      <c r="D169" s="17"/>
      <c r="H169" s="10"/>
      <c r="I169" s="17"/>
      <c r="J169" s="17"/>
      <c r="K169" s="17"/>
      <c r="Q169" s="17"/>
    </row>
    <row r="170" spans="3:17" x14ac:dyDescent="0.25">
      <c r="C170" s="17"/>
      <c r="D170" s="17"/>
      <c r="H170" s="10"/>
      <c r="I170" s="17"/>
      <c r="J170" s="17"/>
      <c r="K170" s="17"/>
      <c r="Q170" s="17"/>
    </row>
    <row r="171" spans="3:17" x14ac:dyDescent="0.25">
      <c r="C171" s="17"/>
      <c r="D171" s="17"/>
      <c r="H171" s="10"/>
      <c r="I171" s="17"/>
      <c r="J171" s="17"/>
      <c r="K171" s="17"/>
      <c r="Q171" s="17"/>
    </row>
    <row r="172" spans="3:17" x14ac:dyDescent="0.25">
      <c r="C172" s="17"/>
      <c r="D172" s="17"/>
      <c r="H172" s="10"/>
      <c r="I172" s="17"/>
      <c r="J172" s="17"/>
      <c r="K172" s="17"/>
      <c r="Q172" s="17"/>
    </row>
    <row r="173" spans="3:17" x14ac:dyDescent="0.25">
      <c r="C173" s="17"/>
      <c r="D173" s="17"/>
      <c r="H173" s="10"/>
      <c r="I173" s="17"/>
      <c r="J173" s="17"/>
      <c r="K173" s="17"/>
      <c r="Q173" s="17"/>
    </row>
    <row r="174" spans="3:17" x14ac:dyDescent="0.25">
      <c r="C174" s="17"/>
      <c r="D174" s="17"/>
      <c r="H174" s="10"/>
      <c r="I174" s="17"/>
      <c r="J174" s="17"/>
      <c r="K174" s="17"/>
      <c r="Q174" s="17"/>
    </row>
    <row r="175" spans="3:17" x14ac:dyDescent="0.25">
      <c r="C175" s="17"/>
      <c r="D175" s="17"/>
      <c r="H175" s="10"/>
      <c r="I175" s="17"/>
      <c r="J175" s="17"/>
      <c r="K175" s="17"/>
      <c r="Q175" s="17"/>
    </row>
    <row r="176" spans="3:17" x14ac:dyDescent="0.25">
      <c r="C176" s="17"/>
      <c r="D176" s="17"/>
      <c r="H176" s="10"/>
      <c r="I176" s="17"/>
      <c r="J176" s="17"/>
      <c r="K176" s="17"/>
      <c r="Q176" s="17"/>
    </row>
    <row r="177" spans="3:17" x14ac:dyDescent="0.25">
      <c r="C177" s="17"/>
      <c r="D177" s="17"/>
      <c r="H177" s="10"/>
      <c r="I177" s="17"/>
      <c r="J177" s="17"/>
      <c r="K177" s="17"/>
      <c r="Q177" s="17"/>
    </row>
    <row r="178" spans="3:17" x14ac:dyDescent="0.25">
      <c r="C178" s="17"/>
      <c r="D178" s="17"/>
      <c r="H178" s="10"/>
      <c r="I178" s="17"/>
      <c r="J178" s="17"/>
      <c r="K178" s="17"/>
      <c r="Q178" s="17"/>
    </row>
    <row r="179" spans="3:17" x14ac:dyDescent="0.25">
      <c r="C179" s="17"/>
      <c r="D179" s="17"/>
      <c r="H179" s="10"/>
      <c r="I179" s="17"/>
      <c r="J179" s="17"/>
      <c r="K179" s="17"/>
      <c r="Q179" s="17"/>
    </row>
    <row r="180" spans="3:17" x14ac:dyDescent="0.25">
      <c r="C180" s="17"/>
      <c r="D180" s="17"/>
      <c r="H180" s="10"/>
      <c r="I180" s="17"/>
      <c r="J180" s="17"/>
      <c r="K180" s="17"/>
      <c r="Q180" s="17"/>
    </row>
    <row r="181" spans="3:17" x14ac:dyDescent="0.25">
      <c r="C181" s="17"/>
      <c r="D181" s="17"/>
      <c r="H181" s="10"/>
      <c r="I181" s="17"/>
      <c r="J181" s="17"/>
      <c r="K181" s="17"/>
      <c r="Q181" s="17"/>
    </row>
    <row r="182" spans="3:17" x14ac:dyDescent="0.25">
      <c r="C182" s="17"/>
      <c r="D182" s="17"/>
      <c r="H182" s="10"/>
      <c r="I182" s="17"/>
      <c r="J182" s="17"/>
      <c r="K182" s="17"/>
      <c r="Q182" s="17"/>
    </row>
    <row r="183" spans="3:17" x14ac:dyDescent="0.25">
      <c r="C183" s="17"/>
      <c r="D183" s="17"/>
      <c r="H183" s="10"/>
      <c r="I183" s="17"/>
      <c r="J183" s="17"/>
      <c r="K183" s="17"/>
      <c r="Q183" s="17"/>
    </row>
    <row r="184" spans="3:17" x14ac:dyDescent="0.25">
      <c r="C184" s="17"/>
      <c r="D184" s="17"/>
      <c r="H184" s="10"/>
      <c r="I184" s="17"/>
      <c r="J184" s="17"/>
      <c r="K184" s="17"/>
      <c r="Q184" s="17"/>
    </row>
    <row r="185" spans="3:17" x14ac:dyDescent="0.25">
      <c r="C185" s="17"/>
      <c r="D185" s="17"/>
      <c r="H185" s="10"/>
      <c r="I185" s="17"/>
      <c r="J185" s="17"/>
      <c r="K185" s="17"/>
      <c r="Q185" s="17"/>
    </row>
    <row r="186" spans="3:17" x14ac:dyDescent="0.25">
      <c r="C186" s="17"/>
      <c r="D186" s="17"/>
      <c r="H186" s="10"/>
      <c r="I186" s="17"/>
      <c r="J186" s="17"/>
      <c r="K186" s="17"/>
      <c r="Q186" s="17"/>
    </row>
    <row r="187" spans="3:17" x14ac:dyDescent="0.25">
      <c r="C187" s="17"/>
      <c r="D187" s="17"/>
      <c r="H187" s="10"/>
      <c r="I187" s="17"/>
      <c r="J187" s="17"/>
      <c r="K187" s="17"/>
      <c r="Q187" s="17"/>
    </row>
    <row r="188" spans="3:17" x14ac:dyDescent="0.25">
      <c r="C188" s="17"/>
      <c r="D188" s="17"/>
      <c r="H188" s="10"/>
      <c r="I188" s="17"/>
      <c r="J188" s="17"/>
      <c r="K188" s="17"/>
      <c r="Q188" s="17"/>
    </row>
    <row r="189" spans="3:17" x14ac:dyDescent="0.25">
      <c r="C189" s="17"/>
      <c r="D189" s="17"/>
      <c r="H189" s="10"/>
      <c r="I189" s="17"/>
      <c r="J189" s="17"/>
      <c r="K189" s="17"/>
      <c r="Q189" s="17"/>
    </row>
    <row r="190" spans="3:17" x14ac:dyDescent="0.25">
      <c r="C190" s="17"/>
      <c r="D190" s="17"/>
      <c r="H190" s="10"/>
      <c r="I190" s="17"/>
      <c r="J190" s="17"/>
      <c r="K190" s="17"/>
      <c r="Q190" s="17"/>
    </row>
    <row r="191" spans="3:17" x14ac:dyDescent="0.25">
      <c r="C191" s="17"/>
      <c r="D191" s="17"/>
      <c r="H191" s="10"/>
      <c r="I191" s="17"/>
      <c r="J191" s="17"/>
      <c r="K191" s="17"/>
      <c r="Q191" s="17"/>
    </row>
    <row r="192" spans="3:17" x14ac:dyDescent="0.25">
      <c r="C192" s="17"/>
      <c r="D192" s="17"/>
      <c r="H192" s="10"/>
      <c r="I192" s="17"/>
      <c r="J192" s="17"/>
      <c r="K192" s="17"/>
      <c r="Q192" s="17"/>
    </row>
    <row r="193" spans="3:17" x14ac:dyDescent="0.25">
      <c r="C193" s="17"/>
      <c r="D193" s="17"/>
      <c r="H193" s="10"/>
      <c r="I193" s="17"/>
      <c r="J193" s="17"/>
      <c r="K193" s="17"/>
      <c r="Q193" s="17"/>
    </row>
    <row r="194" spans="3:17" x14ac:dyDescent="0.25">
      <c r="C194" s="17"/>
      <c r="D194" s="17"/>
      <c r="H194" s="10"/>
      <c r="I194" s="17"/>
      <c r="J194" s="17"/>
      <c r="K194" s="17"/>
      <c r="Q194" s="17"/>
    </row>
    <row r="195" spans="3:17" x14ac:dyDescent="0.25">
      <c r="C195" s="17"/>
      <c r="D195" s="17"/>
      <c r="H195" s="10"/>
      <c r="I195" s="17"/>
      <c r="J195" s="17"/>
      <c r="K195" s="17"/>
      <c r="Q195" s="17"/>
    </row>
    <row r="196" spans="3:17" x14ac:dyDescent="0.25">
      <c r="C196" s="17"/>
      <c r="D196" s="17"/>
      <c r="H196" s="10"/>
      <c r="I196" s="17"/>
      <c r="J196" s="17"/>
      <c r="K196" s="17"/>
      <c r="Q196" s="17"/>
    </row>
    <row r="197" spans="3:17" x14ac:dyDescent="0.25">
      <c r="C197" s="17"/>
      <c r="D197" s="17"/>
      <c r="H197" s="10"/>
      <c r="I197" s="17"/>
      <c r="J197" s="17"/>
      <c r="K197" s="17"/>
      <c r="Q197" s="17"/>
    </row>
    <row r="198" spans="3:17" x14ac:dyDescent="0.25">
      <c r="C198" s="17"/>
      <c r="D198" s="17"/>
      <c r="I198" s="17"/>
      <c r="J198" s="17"/>
      <c r="K198" s="17"/>
      <c r="Q198" s="17"/>
    </row>
    <row r="199" spans="3:17" x14ac:dyDescent="0.25">
      <c r="C199" s="17"/>
      <c r="D199" s="17"/>
      <c r="I199" s="17"/>
      <c r="J199" s="17"/>
      <c r="K199" s="17"/>
      <c r="Q199" s="17"/>
    </row>
    <row r="200" spans="3:17" x14ac:dyDescent="0.25">
      <c r="C200" s="17"/>
      <c r="D200" s="17"/>
      <c r="I200" s="17"/>
      <c r="J200" s="17"/>
      <c r="K200" s="17"/>
      <c r="Q200" s="17"/>
    </row>
    <row r="201" spans="3:17" x14ac:dyDescent="0.25">
      <c r="C201" s="17"/>
      <c r="D201" s="17"/>
      <c r="I201" s="17"/>
      <c r="J201" s="17"/>
      <c r="K201" s="17"/>
      <c r="Q201" s="17"/>
    </row>
    <row r="202" spans="3:17" x14ac:dyDescent="0.25">
      <c r="C202" s="17"/>
      <c r="D202" s="17"/>
      <c r="I202" s="17"/>
      <c r="J202" s="17"/>
      <c r="K202" s="17"/>
      <c r="Q202" s="17"/>
    </row>
    <row r="203" spans="3:17" x14ac:dyDescent="0.25">
      <c r="C203" s="17"/>
      <c r="D203" s="17"/>
      <c r="I203" s="17"/>
      <c r="J203" s="17"/>
      <c r="K203" s="17"/>
      <c r="Q203" s="17"/>
    </row>
    <row r="204" spans="3:17" x14ac:dyDescent="0.25">
      <c r="C204" s="17"/>
      <c r="D204" s="17"/>
      <c r="I204" s="17"/>
      <c r="J204" s="17"/>
      <c r="K204" s="17"/>
      <c r="Q204" s="17"/>
    </row>
    <row r="205" spans="3:17" x14ac:dyDescent="0.25">
      <c r="C205" s="17"/>
      <c r="D205" s="17"/>
      <c r="I205" s="17"/>
      <c r="J205" s="17"/>
      <c r="K205" s="17"/>
      <c r="Q205" s="17"/>
    </row>
    <row r="206" spans="3:17" x14ac:dyDescent="0.25">
      <c r="C206" s="17"/>
      <c r="D206" s="17"/>
      <c r="I206" s="17"/>
      <c r="J206" s="17"/>
      <c r="K206" s="17"/>
      <c r="Q206" s="17"/>
    </row>
    <row r="207" spans="3:17" x14ac:dyDescent="0.25">
      <c r="C207" s="17"/>
      <c r="D207" s="17"/>
      <c r="I207" s="17"/>
      <c r="J207" s="17"/>
      <c r="K207" s="17"/>
      <c r="Q207" s="17"/>
    </row>
    <row r="208" spans="3:17" x14ac:dyDescent="0.25">
      <c r="C208" s="17"/>
      <c r="D208" s="17"/>
      <c r="I208" s="17"/>
      <c r="J208" s="17"/>
      <c r="K208" s="17"/>
      <c r="Q208" s="17"/>
    </row>
    <row r="209" spans="3:17" x14ac:dyDescent="0.25">
      <c r="C209" s="17"/>
      <c r="D209" s="17"/>
      <c r="I209" s="17"/>
      <c r="J209" s="17"/>
      <c r="K209" s="17"/>
      <c r="Q209" s="17"/>
    </row>
    <row r="210" spans="3:17" x14ac:dyDescent="0.25">
      <c r="C210" s="17"/>
      <c r="D210" s="17"/>
      <c r="I210" s="17"/>
      <c r="J210" s="17"/>
      <c r="K210" s="17"/>
      <c r="Q210" s="17"/>
    </row>
    <row r="211" spans="3:17" x14ac:dyDescent="0.25">
      <c r="C211" s="17"/>
      <c r="D211" s="17"/>
      <c r="I211" s="17"/>
      <c r="J211" s="17"/>
      <c r="K211" s="17"/>
      <c r="Q211" s="17"/>
    </row>
    <row r="212" spans="3:17" x14ac:dyDescent="0.25">
      <c r="C212" s="17"/>
      <c r="D212" s="17"/>
      <c r="I212" s="17"/>
      <c r="J212" s="17"/>
      <c r="K212" s="17"/>
      <c r="Q212" s="17"/>
    </row>
    <row r="213" spans="3:17" x14ac:dyDescent="0.25">
      <c r="C213" s="17"/>
      <c r="D213" s="17"/>
      <c r="I213" s="17"/>
      <c r="J213" s="17"/>
      <c r="K213" s="17"/>
      <c r="Q213" s="17"/>
    </row>
    <row r="214" spans="3:17" x14ac:dyDescent="0.25">
      <c r="I214" s="17"/>
      <c r="J214" s="17"/>
      <c r="K214" s="17"/>
      <c r="Q214" s="17"/>
    </row>
    <row r="215" spans="3:17" x14ac:dyDescent="0.25">
      <c r="I215" s="17"/>
      <c r="J215" s="17"/>
      <c r="K215" s="17"/>
      <c r="Q215" s="17"/>
    </row>
    <row r="216" spans="3:17" x14ac:dyDescent="0.25">
      <c r="I216" s="17"/>
      <c r="J216" s="17"/>
      <c r="K216" s="17"/>
      <c r="Q216" s="17"/>
    </row>
    <row r="217" spans="3:17" x14ac:dyDescent="0.25">
      <c r="I217" s="17"/>
      <c r="J217" s="17"/>
      <c r="K217" s="17"/>
      <c r="Q217" s="17"/>
    </row>
    <row r="218" spans="3:17" x14ac:dyDescent="0.25">
      <c r="I218" s="17"/>
      <c r="J218" s="17"/>
      <c r="K218" s="17"/>
      <c r="Q218" s="17"/>
    </row>
    <row r="219" spans="3:17" x14ac:dyDescent="0.25">
      <c r="I219" s="17"/>
      <c r="J219" s="17"/>
      <c r="K219" s="17"/>
      <c r="Q219" s="17"/>
    </row>
    <row r="220" spans="3:17" x14ac:dyDescent="0.25">
      <c r="I220" s="17"/>
      <c r="J220" s="17"/>
      <c r="K220" s="17"/>
      <c r="Q220" s="17"/>
    </row>
    <row r="221" spans="3:17" x14ac:dyDescent="0.25">
      <c r="I221" s="17"/>
      <c r="J221" s="17"/>
      <c r="K221" s="17"/>
      <c r="Q221" s="17"/>
    </row>
    <row r="222" spans="3:17" x14ac:dyDescent="0.25">
      <c r="I222" s="17"/>
      <c r="J222" s="17"/>
      <c r="K222" s="17"/>
      <c r="Q222" s="17"/>
    </row>
    <row r="223" spans="3:17" x14ac:dyDescent="0.25">
      <c r="I223" s="17"/>
      <c r="J223" s="17"/>
      <c r="K223" s="17"/>
      <c r="Q223" s="17"/>
    </row>
    <row r="224" spans="3:17" x14ac:dyDescent="0.25">
      <c r="I224" s="17"/>
      <c r="J224" s="17"/>
      <c r="K224" s="17"/>
      <c r="Q224" s="17"/>
    </row>
    <row r="225" spans="9:17" x14ac:dyDescent="0.25">
      <c r="I225" s="17"/>
      <c r="J225" s="17"/>
      <c r="K225" s="17"/>
      <c r="Q225" s="17"/>
    </row>
    <row r="226" spans="9:17" x14ac:dyDescent="0.25">
      <c r="I226" s="17"/>
      <c r="J226" s="17"/>
      <c r="K226" s="17"/>
      <c r="Q226" s="17"/>
    </row>
    <row r="227" spans="9:17" x14ac:dyDescent="0.25">
      <c r="I227" s="17"/>
      <c r="J227" s="17"/>
      <c r="K227" s="17"/>
      <c r="Q227" s="17"/>
    </row>
    <row r="228" spans="9:17" x14ac:dyDescent="0.25">
      <c r="I228" s="17"/>
      <c r="J228" s="17"/>
      <c r="K228" s="17"/>
      <c r="Q228" s="17"/>
    </row>
    <row r="229" spans="9:17" x14ac:dyDescent="0.25">
      <c r="Q229" s="17"/>
    </row>
    <row r="230" spans="9:17" x14ac:dyDescent="0.25">
      <c r="Q230" s="17"/>
    </row>
    <row r="231" spans="9:17" x14ac:dyDescent="0.25">
      <c r="Q231" s="17"/>
    </row>
    <row r="232" spans="9:17" x14ac:dyDescent="0.25">
      <c r="Q232" s="17"/>
    </row>
    <row r="233" spans="9:17" x14ac:dyDescent="0.25">
      <c r="Q233" s="17"/>
    </row>
    <row r="234" spans="9:17" x14ac:dyDescent="0.25">
      <c r="Q234" s="17"/>
    </row>
    <row r="235" spans="9:17" x14ac:dyDescent="0.25">
      <c r="Q235" s="17"/>
    </row>
  </sheetData>
  <mergeCells count="4">
    <mergeCell ref="U8:AA8"/>
    <mergeCell ref="E8:K8"/>
    <mergeCell ref="E79:K79"/>
    <mergeCell ref="U79:AA79"/>
  </mergeCells>
  <printOptions horizontalCentered="1"/>
  <pageMargins left="0.7" right="0.7" top="0.75" bottom="0.75" header="0.3" footer="0.3"/>
  <pageSetup scale="35" fitToWidth="2" fitToHeight="2" pageOrder="overThenDown" orientation="portrait" r:id="rId1"/>
  <headerFooter alignWithMargins="0"/>
  <rowBreaks count="1" manualBreakCount="1">
    <brk id="71" max="29" man="1"/>
  </rowBreaks>
  <colBreaks count="1" manualBreakCount="1">
    <brk id="20" max="1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B183"/>
  <sheetViews>
    <sheetView view="pageBreakPreview" zoomScale="60" zoomScaleNormal="70" workbookViewId="0">
      <pane xSplit="4" ySplit="14" topLeftCell="E15" activePane="bottomRight" state="frozen"/>
      <selection pane="topRight"/>
      <selection pane="bottomLeft"/>
      <selection pane="bottomRight"/>
    </sheetView>
  </sheetViews>
  <sheetFormatPr defaultColWidth="12.81640625" defaultRowHeight="15" x14ac:dyDescent="0.25"/>
  <cols>
    <col min="1" max="1" width="16.08984375" style="8" customWidth="1"/>
    <col min="2" max="2" width="36.6328125" style="8" customWidth="1"/>
    <col min="3" max="3" width="12.81640625" style="8"/>
    <col min="4" max="4" width="12.36328125" style="8" bestFit="1" customWidth="1"/>
    <col min="5" max="5" width="7.453125" style="8" customWidth="1"/>
    <col min="6" max="9" width="11.6328125" style="8" customWidth="1"/>
    <col min="10" max="10" width="12.54296875" style="8" bestFit="1" customWidth="1"/>
    <col min="11" max="12" width="11.6328125" style="8" customWidth="1"/>
    <col min="13" max="13" width="7.90625" style="8" customWidth="1"/>
    <col min="14" max="14" width="10" style="8" customWidth="1"/>
    <col min="15" max="15" width="8.1796875" style="8" customWidth="1"/>
    <col min="16" max="16" width="11.6328125" style="10" customWidth="1"/>
    <col min="17" max="17" width="11.6328125" style="8" customWidth="1"/>
    <col min="18" max="19" width="12.36328125" style="8" bestFit="1" customWidth="1"/>
    <col min="20" max="20" width="11.6328125" style="8" customWidth="1"/>
    <col min="21" max="16384" width="12.81640625" style="8"/>
  </cols>
  <sheetData>
    <row r="1" spans="1:54" x14ac:dyDescent="0.25">
      <c r="L1" s="19" t="s">
        <v>254</v>
      </c>
      <c r="T1" s="19" t="s">
        <v>254</v>
      </c>
    </row>
    <row r="2" spans="1:54" x14ac:dyDescent="0.25">
      <c r="L2" s="19" t="s">
        <v>118</v>
      </c>
      <c r="T2" s="19" t="s">
        <v>118</v>
      </c>
    </row>
    <row r="3" spans="1:54" x14ac:dyDescent="0.25">
      <c r="L3" s="19" t="s">
        <v>310</v>
      </c>
      <c r="T3" s="19" t="s">
        <v>311</v>
      </c>
    </row>
    <row r="4" spans="1:54" ht="15.6" x14ac:dyDescent="0.3">
      <c r="A4" s="55" t="s">
        <v>0</v>
      </c>
      <c r="B4" s="16"/>
      <c r="C4" s="16"/>
      <c r="D4" s="16"/>
      <c r="E4" s="16"/>
      <c r="F4" s="16"/>
      <c r="G4" s="16"/>
    </row>
    <row r="5" spans="1:54" ht="15.6" x14ac:dyDescent="0.3">
      <c r="A5" s="55" t="s">
        <v>299</v>
      </c>
      <c r="B5" s="16"/>
      <c r="C5" s="16"/>
      <c r="D5" s="16"/>
      <c r="E5" s="16"/>
      <c r="F5" s="16"/>
      <c r="G5" s="16"/>
    </row>
    <row r="6" spans="1:54" ht="15.6" x14ac:dyDescent="0.3">
      <c r="A6" s="55" t="s">
        <v>119</v>
      </c>
      <c r="B6" s="16"/>
      <c r="C6" s="16"/>
      <c r="D6" s="16"/>
      <c r="E6" s="16"/>
      <c r="F6" s="16"/>
      <c r="G6" s="16"/>
    </row>
    <row r="7" spans="1:54" ht="15.6" x14ac:dyDescent="0.3">
      <c r="A7" s="47"/>
    </row>
    <row r="8" spans="1:54" ht="16.2" thickBot="1" x14ac:dyDescent="0.35">
      <c r="E8" s="63" t="s">
        <v>293</v>
      </c>
      <c r="F8" s="63"/>
      <c r="G8" s="63"/>
      <c r="H8" s="63"/>
      <c r="I8" s="63"/>
      <c r="J8" s="63"/>
      <c r="K8" s="63"/>
      <c r="M8" s="63" t="s">
        <v>307</v>
      </c>
      <c r="N8" s="63"/>
      <c r="O8" s="63"/>
      <c r="P8" s="63"/>
      <c r="Q8" s="63"/>
      <c r="R8" s="63"/>
      <c r="S8" s="63"/>
    </row>
    <row r="10" spans="1:54" x14ac:dyDescent="0.25">
      <c r="D10" s="18">
        <v>43830</v>
      </c>
    </row>
    <row r="11" spans="1:54" x14ac:dyDescent="0.25">
      <c r="D11" s="9" t="s">
        <v>2</v>
      </c>
      <c r="K11" s="9" t="s">
        <v>3</v>
      </c>
      <c r="S11" s="9" t="s">
        <v>3</v>
      </c>
    </row>
    <row r="12" spans="1:54" x14ac:dyDescent="0.25">
      <c r="C12" s="9" t="s">
        <v>4</v>
      </c>
      <c r="D12" s="9" t="s">
        <v>5</v>
      </c>
      <c r="F12" s="9" t="s">
        <v>29</v>
      </c>
      <c r="G12" s="9" t="s">
        <v>30</v>
      </c>
      <c r="H12" s="9" t="s">
        <v>31</v>
      </c>
      <c r="I12" s="9" t="s">
        <v>6</v>
      </c>
      <c r="J12" s="9" t="s">
        <v>7</v>
      </c>
      <c r="K12" s="9" t="s">
        <v>120</v>
      </c>
      <c r="N12" s="9" t="s">
        <v>29</v>
      </c>
      <c r="O12" s="9" t="s">
        <v>30</v>
      </c>
      <c r="P12" s="34" t="s">
        <v>31</v>
      </c>
      <c r="Q12" s="9" t="s">
        <v>6</v>
      </c>
      <c r="R12" s="9" t="s">
        <v>7</v>
      </c>
      <c r="S12" s="9" t="s">
        <v>120</v>
      </c>
    </row>
    <row r="13" spans="1:54" x14ac:dyDescent="0.25">
      <c r="A13" s="6" t="s">
        <v>33</v>
      </c>
      <c r="B13" s="6" t="s">
        <v>34</v>
      </c>
      <c r="C13" s="6" t="s">
        <v>294</v>
      </c>
      <c r="D13" s="6" t="s">
        <v>9</v>
      </c>
      <c r="E13" s="6" t="s">
        <v>35</v>
      </c>
      <c r="F13" s="6" t="s">
        <v>36</v>
      </c>
      <c r="G13" s="6" t="s">
        <v>37</v>
      </c>
      <c r="H13" s="6" t="s">
        <v>41</v>
      </c>
      <c r="I13" s="6" t="s">
        <v>10</v>
      </c>
      <c r="J13" s="6" t="s">
        <v>11</v>
      </c>
      <c r="K13" s="6" t="s">
        <v>11</v>
      </c>
      <c r="L13" s="7"/>
      <c r="M13" s="6" t="s">
        <v>35</v>
      </c>
      <c r="N13" s="6" t="s">
        <v>36</v>
      </c>
      <c r="O13" s="6" t="s">
        <v>37</v>
      </c>
      <c r="P13" s="35" t="s">
        <v>41</v>
      </c>
      <c r="Q13" s="6" t="s">
        <v>10</v>
      </c>
      <c r="R13" s="6" t="s">
        <v>11</v>
      </c>
      <c r="S13" s="6" t="s">
        <v>11</v>
      </c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</row>
    <row r="15" spans="1:54" ht="15.6" x14ac:dyDescent="0.3">
      <c r="A15" s="4" t="s">
        <v>74</v>
      </c>
      <c r="C15" s="17"/>
      <c r="D15" s="17"/>
      <c r="H15" s="12"/>
      <c r="I15" s="17"/>
      <c r="J15" s="17"/>
      <c r="K15" s="17"/>
      <c r="O15" s="9"/>
      <c r="Q15" s="17"/>
      <c r="R15" s="17"/>
    </row>
    <row r="16" spans="1:54" x14ac:dyDescent="0.25">
      <c r="A16" s="9" t="s">
        <v>251</v>
      </c>
      <c r="B16" s="8" t="s">
        <v>249</v>
      </c>
      <c r="C16" s="17">
        <v>1761627.37</v>
      </c>
      <c r="D16" s="17">
        <v>912510</v>
      </c>
      <c r="E16" s="8">
        <v>75</v>
      </c>
      <c r="F16" s="9" t="s">
        <v>45</v>
      </c>
      <c r="G16" s="9">
        <v>0</v>
      </c>
      <c r="H16" s="12">
        <v>1.3299999999999999E-2</v>
      </c>
      <c r="I16" s="17">
        <f>ROUND((C16*H16),0)</f>
        <v>23430</v>
      </c>
      <c r="J16" s="17">
        <f>543379.51+263700.37</f>
        <v>807079.88</v>
      </c>
      <c r="K16" s="17">
        <f>D16-J16</f>
        <v>105430.12</v>
      </c>
      <c r="M16" s="8">
        <v>70</v>
      </c>
      <c r="N16" s="9" t="s">
        <v>48</v>
      </c>
      <c r="O16" s="9">
        <v>0</v>
      </c>
      <c r="P16" s="12">
        <v>1.4300307739455774E-2</v>
      </c>
      <c r="Q16" s="17">
        <f>C16*P16</f>
        <v>25191.813513248122</v>
      </c>
      <c r="R16" s="17">
        <v>607966</v>
      </c>
      <c r="S16" s="17">
        <f>D16-R16</f>
        <v>304544</v>
      </c>
    </row>
    <row r="17" spans="1:19" x14ac:dyDescent="0.25">
      <c r="A17" s="9" t="s">
        <v>248</v>
      </c>
      <c r="B17" s="8" t="s">
        <v>250</v>
      </c>
      <c r="C17" s="17">
        <v>1485</v>
      </c>
      <c r="D17" s="17">
        <v>90</v>
      </c>
      <c r="E17" s="8">
        <v>75</v>
      </c>
      <c r="F17" s="9" t="s">
        <v>45</v>
      </c>
      <c r="G17" s="9">
        <v>0</v>
      </c>
      <c r="H17" s="12">
        <v>1.3299999999999999E-2</v>
      </c>
      <c r="I17" s="17">
        <f>ROUND((C17*H17),0)</f>
        <v>20</v>
      </c>
      <c r="J17" s="17">
        <v>1251.73</v>
      </c>
      <c r="K17" s="17">
        <f>D17-J17</f>
        <v>-1161.73</v>
      </c>
      <c r="M17" s="8">
        <v>70</v>
      </c>
      <c r="N17" s="9" t="s">
        <v>48</v>
      </c>
      <c r="O17" s="9">
        <v>0</v>
      </c>
      <c r="P17" s="12">
        <v>1.4141414141414142E-2</v>
      </c>
      <c r="Q17" s="17">
        <f t="shared" ref="Q17:Q26" si="0">C17*P17</f>
        <v>21</v>
      </c>
      <c r="R17" s="17">
        <v>1364</v>
      </c>
      <c r="S17" s="17">
        <f>D17-R17</f>
        <v>-1274</v>
      </c>
    </row>
    <row r="18" spans="1:19" x14ac:dyDescent="0.25">
      <c r="A18" s="9" t="s">
        <v>122</v>
      </c>
      <c r="B18" s="8" t="s">
        <v>44</v>
      </c>
      <c r="C18" s="17">
        <v>862395.79</v>
      </c>
      <c r="D18" s="17">
        <v>297554</v>
      </c>
      <c r="E18" s="8">
        <v>65</v>
      </c>
      <c r="F18" s="9" t="s">
        <v>84</v>
      </c>
      <c r="G18" s="9">
        <v>-25</v>
      </c>
      <c r="H18" s="12">
        <v>1.9199999999999998E-2</v>
      </c>
      <c r="I18" s="17">
        <f>ROUND((C18*H18),0)</f>
        <v>16558</v>
      </c>
      <c r="J18" s="17">
        <v>214871.4</v>
      </c>
      <c r="K18" s="17">
        <f>D18-J18</f>
        <v>82682.600000000006</v>
      </c>
      <c r="M18" s="8">
        <v>50</v>
      </c>
      <c r="N18" s="9" t="s">
        <v>84</v>
      </c>
      <c r="O18" s="9">
        <v>-25</v>
      </c>
      <c r="P18" s="12">
        <v>2.5000035199418787E-2</v>
      </c>
      <c r="Q18" s="17">
        <f t="shared" si="0"/>
        <v>21559.925105830574</v>
      </c>
      <c r="R18" s="17">
        <v>266022</v>
      </c>
      <c r="S18" s="17">
        <f t="shared" ref="S18:S24" si="1">D18-R18</f>
        <v>31532</v>
      </c>
    </row>
    <row r="19" spans="1:19" x14ac:dyDescent="0.25">
      <c r="C19" s="17"/>
      <c r="D19" s="17"/>
      <c r="G19" s="9"/>
      <c r="H19" s="12"/>
      <c r="I19" s="17"/>
      <c r="J19" s="17"/>
      <c r="K19" s="17"/>
      <c r="O19" s="9"/>
      <c r="Q19" s="17"/>
      <c r="R19" s="17"/>
      <c r="S19" s="17"/>
    </row>
    <row r="20" spans="1:19" x14ac:dyDescent="0.25">
      <c r="A20" s="9" t="s">
        <v>124</v>
      </c>
      <c r="B20" s="8" t="s">
        <v>125</v>
      </c>
      <c r="C20" s="17">
        <v>29445627.010000002</v>
      </c>
      <c r="D20" s="17">
        <v>14734485</v>
      </c>
      <c r="E20" s="8">
        <v>85</v>
      </c>
      <c r="F20" s="9" t="s">
        <v>48</v>
      </c>
      <c r="G20" s="9">
        <v>-25</v>
      </c>
      <c r="H20" s="12">
        <v>1.47E-2</v>
      </c>
      <c r="I20" s="17">
        <f>ROUND((C20*H20),0)</f>
        <v>432851</v>
      </c>
      <c r="J20" s="17">
        <v>14206336.550000001</v>
      </c>
      <c r="K20" s="17">
        <f>D20-J20</f>
        <v>528148.44999999925</v>
      </c>
      <c r="M20" s="8">
        <v>75</v>
      </c>
      <c r="N20" s="9" t="s">
        <v>45</v>
      </c>
      <c r="O20" s="9">
        <v>-40</v>
      </c>
      <c r="P20" s="12">
        <v>1.8620000834807016E-2</v>
      </c>
      <c r="Q20" s="17">
        <f t="shared" si="0"/>
        <v>548277.59950761602</v>
      </c>
      <c r="R20" s="17">
        <v>16800170</v>
      </c>
      <c r="S20" s="17">
        <f t="shared" si="1"/>
        <v>-2065685</v>
      </c>
    </row>
    <row r="21" spans="1:19" x14ac:dyDescent="0.25">
      <c r="C21" s="17"/>
      <c r="D21" s="17"/>
      <c r="G21" s="9"/>
      <c r="H21" s="12"/>
      <c r="I21" s="17"/>
      <c r="J21" s="17"/>
      <c r="K21" s="17"/>
      <c r="O21" s="9"/>
      <c r="Q21" s="17"/>
      <c r="R21" s="17"/>
      <c r="S21" s="17"/>
    </row>
    <row r="22" spans="1:19" x14ac:dyDescent="0.25">
      <c r="A22" s="9" t="s">
        <v>126</v>
      </c>
      <c r="B22" s="8" t="s">
        <v>79</v>
      </c>
      <c r="C22" s="17">
        <v>12658219.57</v>
      </c>
      <c r="D22" s="17">
        <v>2234431</v>
      </c>
      <c r="E22" s="8">
        <v>40</v>
      </c>
      <c r="F22" s="9" t="s">
        <v>114</v>
      </c>
      <c r="G22" s="9">
        <v>-25</v>
      </c>
      <c r="H22" s="12">
        <v>3.1300000000000001E-2</v>
      </c>
      <c r="I22" s="17">
        <f>ROUND((C22*H22),0)</f>
        <v>396202</v>
      </c>
      <c r="J22" s="17">
        <v>2206415.0099999998</v>
      </c>
      <c r="K22" s="17">
        <f>D22-J22</f>
        <v>28015.990000000224</v>
      </c>
      <c r="M22" s="8">
        <v>33</v>
      </c>
      <c r="N22" s="9" t="s">
        <v>241</v>
      </c>
      <c r="O22" s="9">
        <v>-25</v>
      </c>
      <c r="P22" s="12">
        <v>3.7875021640498593E-2</v>
      </c>
      <c r="Q22" s="17">
        <f t="shared" si="0"/>
        <v>479430.34014393279</v>
      </c>
      <c r="R22" s="17">
        <v>3361100</v>
      </c>
      <c r="S22" s="17">
        <f t="shared" si="1"/>
        <v>-1126669</v>
      </c>
    </row>
    <row r="23" spans="1:19" x14ac:dyDescent="0.25">
      <c r="A23" s="9" t="s">
        <v>127</v>
      </c>
      <c r="B23" s="8" t="s">
        <v>101</v>
      </c>
      <c r="C23" s="17">
        <v>1052766.1599999999</v>
      </c>
      <c r="D23" s="17">
        <v>615246</v>
      </c>
      <c r="E23" s="8">
        <v>22</v>
      </c>
      <c r="F23" s="9" t="s">
        <v>85</v>
      </c>
      <c r="G23" s="9">
        <v>-25</v>
      </c>
      <c r="H23" s="12">
        <v>5.6800000000000003E-2</v>
      </c>
      <c r="I23" s="17">
        <f>ROUND((C23*H23),0)</f>
        <v>59797</v>
      </c>
      <c r="J23" s="17">
        <v>406715.63</v>
      </c>
      <c r="K23" s="17">
        <f>D23-J23</f>
        <v>208530.37</v>
      </c>
      <c r="M23" s="8">
        <v>22</v>
      </c>
      <c r="N23" s="9" t="s">
        <v>85</v>
      </c>
      <c r="O23" s="9">
        <v>-25</v>
      </c>
      <c r="P23" s="12">
        <v>5.6875438646781039E-2</v>
      </c>
      <c r="Q23" s="17">
        <f t="shared" si="0"/>
        <v>59876.537142487265</v>
      </c>
      <c r="R23" s="17">
        <v>406641</v>
      </c>
      <c r="S23" s="17">
        <f>D23-R23</f>
        <v>208605</v>
      </c>
    </row>
    <row r="24" spans="1:19" x14ac:dyDescent="0.25">
      <c r="A24" s="9" t="s">
        <v>252</v>
      </c>
      <c r="B24" s="8" t="s">
        <v>218</v>
      </c>
      <c r="C24" s="17">
        <v>443374.65</v>
      </c>
      <c r="D24" s="17">
        <v>95985</v>
      </c>
      <c r="E24" s="8">
        <v>19</v>
      </c>
      <c r="F24" s="9" t="s">
        <v>232</v>
      </c>
      <c r="G24" s="9">
        <v>-25</v>
      </c>
      <c r="H24" s="12">
        <v>6.5799999999999997E-2</v>
      </c>
      <c r="I24" s="17">
        <f>ROUND((C24*H24),0)</f>
        <v>29174</v>
      </c>
      <c r="J24" s="17">
        <v>131642.70000000001</v>
      </c>
      <c r="K24" s="17">
        <f>D24-J24</f>
        <v>-35657.700000000012</v>
      </c>
      <c r="M24" s="8">
        <v>25</v>
      </c>
      <c r="N24" s="9" t="s">
        <v>123</v>
      </c>
      <c r="O24" s="9">
        <v>-25</v>
      </c>
      <c r="P24" s="12">
        <v>4.9999274531710221E-2</v>
      </c>
      <c r="Q24" s="20">
        <f t="shared" si="0"/>
        <v>22168.410845750936</v>
      </c>
      <c r="R24" s="17">
        <v>105553</v>
      </c>
      <c r="S24" s="17">
        <f t="shared" si="1"/>
        <v>-9568</v>
      </c>
    </row>
    <row r="25" spans="1:19" x14ac:dyDescent="0.25">
      <c r="C25" s="29"/>
      <c r="D25" s="29"/>
      <c r="E25" s="29"/>
      <c r="F25" s="29"/>
      <c r="G25" s="29"/>
      <c r="H25" s="13"/>
      <c r="I25" s="29"/>
      <c r="J25" s="29"/>
      <c r="K25" s="29"/>
      <c r="M25" s="29"/>
      <c r="N25" s="29"/>
      <c r="O25" s="38"/>
      <c r="P25" s="48"/>
      <c r="Q25" s="17"/>
      <c r="R25" s="29"/>
      <c r="S25" s="29"/>
    </row>
    <row r="26" spans="1:19" ht="15.6" x14ac:dyDescent="0.3">
      <c r="B26" s="4" t="s">
        <v>97</v>
      </c>
      <c r="C26" s="17">
        <f>SUM(C16:C24)</f>
        <v>46225495.549999997</v>
      </c>
      <c r="D26" s="17">
        <f>SUM(D16:D24)</f>
        <v>18890301</v>
      </c>
      <c r="H26" s="12">
        <f>ROUND((I26/C26),4)</f>
        <v>2.07E-2</v>
      </c>
      <c r="I26" s="17">
        <f>SUM(I16:I24)</f>
        <v>958032</v>
      </c>
      <c r="J26" s="17">
        <f>SUM(J16:J24)</f>
        <v>17974312.899999999</v>
      </c>
      <c r="K26" s="17">
        <f>SUM(K16:K24)</f>
        <v>915988.09999999939</v>
      </c>
      <c r="O26" s="9"/>
      <c r="P26" s="12">
        <v>2.4792000000000002E-2</v>
      </c>
      <c r="Q26" s="17">
        <f t="shared" si="0"/>
        <v>1146022.4856755999</v>
      </c>
      <c r="R26" s="17">
        <f>SUM(R16:R24)</f>
        <v>21548816</v>
      </c>
      <c r="S26" s="17">
        <f>SUM(S16:S24)</f>
        <v>-2658515</v>
      </c>
    </row>
    <row r="27" spans="1:19" ht="15.6" x14ac:dyDescent="0.3">
      <c r="B27" s="4"/>
      <c r="C27" s="17"/>
      <c r="D27" s="17"/>
      <c r="H27" s="12"/>
      <c r="I27" s="17"/>
      <c r="J27" s="17"/>
      <c r="K27" s="17"/>
      <c r="O27" s="9"/>
      <c r="Q27" s="17"/>
      <c r="R27" s="17"/>
    </row>
    <row r="28" spans="1:19" ht="15.6" x14ac:dyDescent="0.3">
      <c r="A28" s="4" t="s">
        <v>98</v>
      </c>
      <c r="C28" s="17"/>
      <c r="D28" s="17"/>
      <c r="H28" s="12"/>
      <c r="I28" s="17"/>
      <c r="J28" s="17"/>
      <c r="K28" s="17"/>
      <c r="O28" s="9"/>
      <c r="Q28" s="17"/>
      <c r="R28" s="17"/>
    </row>
    <row r="29" spans="1:19" x14ac:dyDescent="0.25">
      <c r="A29" s="9" t="s">
        <v>281</v>
      </c>
      <c r="B29" s="8" t="s">
        <v>75</v>
      </c>
      <c r="C29" s="17">
        <v>232687.33</v>
      </c>
      <c r="D29" s="17">
        <v>103000</v>
      </c>
      <c r="E29" s="8">
        <v>85</v>
      </c>
      <c r="F29" s="9" t="s">
        <v>48</v>
      </c>
      <c r="G29" s="9">
        <v>0</v>
      </c>
      <c r="H29" s="12">
        <v>1.18E-2</v>
      </c>
      <c r="I29" s="17">
        <f>ROUND((C29*H29),0)</f>
        <v>2746</v>
      </c>
      <c r="J29" s="17">
        <v>81145.64</v>
      </c>
      <c r="K29" s="17">
        <v>21056.310000000012</v>
      </c>
      <c r="M29" s="8">
        <v>75</v>
      </c>
      <c r="N29" s="9" t="s">
        <v>45</v>
      </c>
      <c r="O29" s="9">
        <v>0</v>
      </c>
      <c r="P29" s="12">
        <v>1.3302245269426832E-2</v>
      </c>
      <c r="Q29" s="17">
        <f>C29*P29</f>
        <v>3095.2639347480599</v>
      </c>
      <c r="R29" s="17">
        <v>85572</v>
      </c>
      <c r="S29" s="17">
        <v>21056.600000000006</v>
      </c>
    </row>
    <row r="30" spans="1:19" x14ac:dyDescent="0.25">
      <c r="A30" s="9" t="s">
        <v>282</v>
      </c>
      <c r="B30" s="8" t="s">
        <v>283</v>
      </c>
      <c r="C30" s="17">
        <v>163136.32999999999</v>
      </c>
      <c r="D30" s="17">
        <v>7236</v>
      </c>
      <c r="E30" s="8">
        <v>85</v>
      </c>
      <c r="F30" s="9" t="s">
        <v>48</v>
      </c>
      <c r="G30" s="9">
        <v>0</v>
      </c>
      <c r="H30" s="12">
        <v>1.18E-2</v>
      </c>
      <c r="I30" s="17">
        <f>ROUND((C30*H30),0)</f>
        <v>1925</v>
      </c>
      <c r="J30" s="17">
        <v>29167.78</v>
      </c>
      <c r="K30" s="17">
        <v>-20103.39</v>
      </c>
      <c r="M30" s="8">
        <v>75</v>
      </c>
      <c r="N30" s="9" t="s">
        <v>45</v>
      </c>
      <c r="O30" s="9">
        <v>0</v>
      </c>
      <c r="P30" s="12">
        <v>1.3300003483956381E-2</v>
      </c>
      <c r="Q30" s="17">
        <f t="shared" ref="Q30:Q50" si="2">C30*P30</f>
        <v>2169.7137573598579</v>
      </c>
      <c r="R30" s="17">
        <v>31778</v>
      </c>
      <c r="S30" s="17">
        <v>-20103.16</v>
      </c>
    </row>
    <row r="31" spans="1:19" x14ac:dyDescent="0.25">
      <c r="A31" s="9"/>
      <c r="C31" s="17"/>
      <c r="D31" s="17"/>
      <c r="F31" s="9"/>
      <c r="G31" s="9"/>
      <c r="H31" s="12"/>
      <c r="I31" s="17"/>
      <c r="J31" s="17"/>
      <c r="K31" s="17"/>
      <c r="N31" s="9"/>
      <c r="O31" s="9"/>
      <c r="P31" s="12"/>
      <c r="Q31" s="17"/>
      <c r="R31" s="17"/>
      <c r="S31" s="17"/>
    </row>
    <row r="32" spans="1:19" x14ac:dyDescent="0.25">
      <c r="A32" s="9" t="s">
        <v>128</v>
      </c>
      <c r="B32" s="8" t="s">
        <v>44</v>
      </c>
      <c r="C32" s="17">
        <v>1831995.55</v>
      </c>
      <c r="D32" s="17">
        <v>-334078</v>
      </c>
      <c r="E32" s="8">
        <v>55</v>
      </c>
      <c r="F32" s="9" t="s">
        <v>233</v>
      </c>
      <c r="G32" s="9">
        <v>-15</v>
      </c>
      <c r="H32" s="12">
        <v>2.0899999999999998E-2</v>
      </c>
      <c r="I32" s="17">
        <f>ROUND((C32*H32),0)</f>
        <v>38289</v>
      </c>
      <c r="J32" s="17">
        <v>554797.31000000006</v>
      </c>
      <c r="K32" s="17">
        <f>D32-J32</f>
        <v>-888875.31</v>
      </c>
      <c r="M32" s="8">
        <v>55</v>
      </c>
      <c r="N32" s="9" t="s">
        <v>233</v>
      </c>
      <c r="O32" s="9">
        <v>-35</v>
      </c>
      <c r="P32" s="12">
        <v>2.4348969918371547E-2</v>
      </c>
      <c r="Q32" s="17">
        <f t="shared" si="2"/>
        <v>44607.204537540536</v>
      </c>
      <c r="R32" s="17">
        <v>651290</v>
      </c>
      <c r="S32" s="17">
        <f t="shared" ref="S32:S48" si="3">D32-R32</f>
        <v>-985368</v>
      </c>
    </row>
    <row r="33" spans="1:19" x14ac:dyDescent="0.25">
      <c r="C33" s="17"/>
      <c r="D33" s="17"/>
      <c r="G33" s="9"/>
      <c r="H33" s="12"/>
      <c r="I33" s="17"/>
      <c r="J33" s="17"/>
      <c r="K33" s="17"/>
      <c r="O33" s="9"/>
      <c r="Q33" s="17"/>
      <c r="R33" s="17"/>
      <c r="S33" s="17"/>
    </row>
    <row r="34" spans="1:19" x14ac:dyDescent="0.25">
      <c r="A34" s="9" t="s">
        <v>129</v>
      </c>
      <c r="B34" s="8" t="s">
        <v>125</v>
      </c>
      <c r="C34" s="17">
        <v>306208076.37</v>
      </c>
      <c r="D34" s="17">
        <v>51397041</v>
      </c>
      <c r="E34" s="8">
        <v>95</v>
      </c>
      <c r="F34" s="9" t="s">
        <v>70</v>
      </c>
      <c r="G34" s="9">
        <v>-45</v>
      </c>
      <c r="H34" s="12">
        <v>1.5299999999999999E-2</v>
      </c>
      <c r="I34" s="17">
        <f>ROUND((C34*H34),0)</f>
        <v>4684984</v>
      </c>
      <c r="J34" s="17">
        <f>4293919.39+12898169.61+445380.6+31021370.76</f>
        <v>48658840.359999999</v>
      </c>
      <c r="K34" s="17">
        <f>D34-J34</f>
        <v>2738200.6400000006</v>
      </c>
      <c r="M34" s="8">
        <v>95</v>
      </c>
      <c r="N34" s="9" t="s">
        <v>70</v>
      </c>
      <c r="O34" s="9">
        <v>-60</v>
      </c>
      <c r="P34" s="12">
        <v>1.6800002126676792E-2</v>
      </c>
      <c r="Q34" s="17">
        <f t="shared" si="2"/>
        <v>5144296.3342216099</v>
      </c>
      <c r="R34" s="17">
        <v>53638087</v>
      </c>
      <c r="S34" s="17">
        <f t="shared" si="3"/>
        <v>-2241046</v>
      </c>
    </row>
    <row r="35" spans="1:19" x14ac:dyDescent="0.25">
      <c r="C35" s="17"/>
      <c r="D35" s="17"/>
      <c r="G35" s="9"/>
      <c r="H35" s="12"/>
      <c r="I35" s="17"/>
      <c r="J35" s="17"/>
      <c r="K35" s="17"/>
      <c r="O35" s="9"/>
      <c r="Q35" s="17"/>
      <c r="R35" s="17"/>
      <c r="S35" s="17"/>
    </row>
    <row r="36" spans="1:19" x14ac:dyDescent="0.25">
      <c r="A36" s="9" t="s">
        <v>130</v>
      </c>
      <c r="B36" s="8" t="s">
        <v>79</v>
      </c>
      <c r="C36" s="17">
        <v>15363593.27</v>
      </c>
      <c r="D36" s="17">
        <v>5473414</v>
      </c>
      <c r="E36" s="8">
        <v>36</v>
      </c>
      <c r="F36" s="9" t="s">
        <v>235</v>
      </c>
      <c r="G36" s="9">
        <v>-45</v>
      </c>
      <c r="H36" s="12">
        <v>4.0300000000000002E-2</v>
      </c>
      <c r="I36" s="17">
        <f>ROUND((C36*H36),0)</f>
        <v>619153</v>
      </c>
      <c r="J36" s="17">
        <v>4370084.42</v>
      </c>
      <c r="K36" s="17">
        <f>D36-J36</f>
        <v>1103329.58</v>
      </c>
      <c r="M36" s="8">
        <v>32</v>
      </c>
      <c r="N36" s="9" t="s">
        <v>216</v>
      </c>
      <c r="O36" s="9">
        <v>-40</v>
      </c>
      <c r="P36" s="12">
        <v>4.3578060628061473E-2</v>
      </c>
      <c r="Q36" s="17">
        <f t="shared" si="2"/>
        <v>669515.59898493718</v>
      </c>
      <c r="R36" s="17">
        <v>5385568</v>
      </c>
      <c r="S36" s="17">
        <f t="shared" si="3"/>
        <v>87846</v>
      </c>
    </row>
    <row r="37" spans="1:19" x14ac:dyDescent="0.25">
      <c r="A37" s="9" t="s">
        <v>131</v>
      </c>
      <c r="B37" s="8" t="s">
        <v>101</v>
      </c>
      <c r="C37" s="17">
        <v>107134.7</v>
      </c>
      <c r="D37" s="17">
        <v>95250</v>
      </c>
      <c r="E37" s="8">
        <v>38</v>
      </c>
      <c r="F37" s="9" t="s">
        <v>235</v>
      </c>
      <c r="G37" s="9">
        <v>-45</v>
      </c>
      <c r="H37" s="12">
        <v>3.8199999999999998E-2</v>
      </c>
      <c r="I37" s="17">
        <f>ROUND((C37*H37),0)</f>
        <v>4093</v>
      </c>
      <c r="J37" s="17">
        <v>53070.86</v>
      </c>
      <c r="K37" s="17">
        <f>D37-J37</f>
        <v>42179.14</v>
      </c>
      <c r="M37" s="8">
        <v>34</v>
      </c>
      <c r="N37" s="9" t="s">
        <v>80</v>
      </c>
      <c r="O37" s="9">
        <v>-40</v>
      </c>
      <c r="P37" s="12">
        <v>4.1158290239172592E-2</v>
      </c>
      <c r="Q37" s="17">
        <f t="shared" si="2"/>
        <v>4409.481077286684</v>
      </c>
      <c r="R37" s="17">
        <v>67926</v>
      </c>
      <c r="S37" s="17">
        <f t="shared" si="3"/>
        <v>27324</v>
      </c>
    </row>
    <row r="38" spans="1:19" x14ac:dyDescent="0.25">
      <c r="A38" s="9" t="s">
        <v>234</v>
      </c>
      <c r="B38" s="8" t="s">
        <v>218</v>
      </c>
      <c r="C38" s="17">
        <v>34062</v>
      </c>
      <c r="D38" s="17">
        <v>8120</v>
      </c>
      <c r="E38" s="8">
        <v>38</v>
      </c>
      <c r="F38" s="9" t="s">
        <v>235</v>
      </c>
      <c r="G38" s="9">
        <v>-45</v>
      </c>
      <c r="H38" s="12">
        <v>3.8199999999999998E-2</v>
      </c>
      <c r="I38" s="17">
        <f>ROUND((C38*H38),0)</f>
        <v>1301</v>
      </c>
      <c r="J38" s="17">
        <v>6827.14</v>
      </c>
      <c r="K38" s="17">
        <f>D38-J38</f>
        <v>1292.8599999999997</v>
      </c>
      <c r="M38" s="8">
        <v>25</v>
      </c>
      <c r="N38" s="9" t="s">
        <v>123</v>
      </c>
      <c r="O38" s="9">
        <v>-40</v>
      </c>
      <c r="P38" s="12">
        <v>5.5986142915859315E-2</v>
      </c>
      <c r="Q38" s="17">
        <f t="shared" si="2"/>
        <v>1907</v>
      </c>
      <c r="R38" s="17">
        <v>12246</v>
      </c>
      <c r="S38" s="17">
        <f t="shared" si="3"/>
        <v>-4126</v>
      </c>
    </row>
    <row r="39" spans="1:19" x14ac:dyDescent="0.25">
      <c r="C39" s="17"/>
      <c r="D39" s="17"/>
      <c r="G39" s="9"/>
      <c r="H39" s="12"/>
      <c r="I39" s="17"/>
      <c r="J39" s="17"/>
      <c r="K39" s="17"/>
      <c r="O39" s="9"/>
      <c r="Q39" s="17"/>
      <c r="R39" s="17"/>
      <c r="S39" s="17"/>
    </row>
    <row r="40" spans="1:19" x14ac:dyDescent="0.25">
      <c r="A40" s="9" t="s">
        <v>132</v>
      </c>
      <c r="B40" s="8" t="s">
        <v>133</v>
      </c>
      <c r="C40" s="17">
        <v>190614542.91999999</v>
      </c>
      <c r="D40" s="17">
        <v>36674374</v>
      </c>
      <c r="E40" s="8">
        <v>81</v>
      </c>
      <c r="F40" s="9" t="s">
        <v>53</v>
      </c>
      <c r="G40" s="9">
        <v>-60</v>
      </c>
      <c r="H40" s="12">
        <v>1.9800000000000002E-2</v>
      </c>
      <c r="I40" s="17">
        <f>ROUND((C40*H40),0)</f>
        <v>3774168</v>
      </c>
      <c r="J40" s="17">
        <v>33897176.5</v>
      </c>
      <c r="K40" s="17">
        <f>D40-J40</f>
        <v>2777197.5</v>
      </c>
      <c r="M40" s="8">
        <v>78</v>
      </c>
      <c r="N40" s="9" t="s">
        <v>91</v>
      </c>
      <c r="O40" s="9">
        <v>-100</v>
      </c>
      <c r="P40" s="12">
        <v>2.5600002865032827E-2</v>
      </c>
      <c r="Q40" s="17">
        <f t="shared" si="2"/>
        <v>4879732.8448689226</v>
      </c>
      <c r="R40" s="17">
        <v>47962759</v>
      </c>
      <c r="S40" s="17">
        <f t="shared" si="3"/>
        <v>-11288385</v>
      </c>
    </row>
    <row r="41" spans="1:19" x14ac:dyDescent="0.25">
      <c r="C41" s="17"/>
      <c r="D41" s="17"/>
      <c r="G41" s="9"/>
      <c r="H41" s="12"/>
      <c r="I41" s="17"/>
      <c r="J41" s="17"/>
      <c r="K41" s="17"/>
      <c r="O41" s="9"/>
      <c r="Q41" s="17"/>
      <c r="R41" s="17"/>
      <c r="S41" s="17"/>
    </row>
    <row r="42" spans="1:19" x14ac:dyDescent="0.25">
      <c r="A42" s="9" t="s">
        <v>134</v>
      </c>
      <c r="B42" s="8" t="s">
        <v>135</v>
      </c>
      <c r="C42" s="17">
        <v>19184633.199999999</v>
      </c>
      <c r="D42" s="17">
        <v>4081360</v>
      </c>
      <c r="E42" s="8">
        <v>28</v>
      </c>
      <c r="F42" s="9" t="s">
        <v>85</v>
      </c>
      <c r="G42" s="9">
        <v>0</v>
      </c>
      <c r="H42" s="12">
        <v>3.5700000000000003E-2</v>
      </c>
      <c r="I42" s="17">
        <f>ROUND((C42*H42),0)</f>
        <v>684891</v>
      </c>
      <c r="J42" s="17">
        <v>5202796</v>
      </c>
      <c r="K42" s="17">
        <f>D42-J42</f>
        <v>-1121436</v>
      </c>
      <c r="M42" s="8">
        <v>26</v>
      </c>
      <c r="N42" s="9" t="s">
        <v>241</v>
      </c>
      <c r="O42" s="9">
        <v>0</v>
      </c>
      <c r="P42" s="12">
        <v>3.8499999487944914E-2</v>
      </c>
      <c r="Q42" s="17">
        <f t="shared" si="2"/>
        <v>738608.36837641092</v>
      </c>
      <c r="R42" s="17">
        <v>5012517</v>
      </c>
      <c r="S42" s="17">
        <f t="shared" si="3"/>
        <v>-931157</v>
      </c>
    </row>
    <row r="43" spans="1:19" x14ac:dyDescent="0.25">
      <c r="C43" s="17"/>
      <c r="D43" s="17"/>
      <c r="G43" s="9"/>
      <c r="H43" s="12"/>
      <c r="I43" s="17"/>
      <c r="J43" s="17"/>
      <c r="K43" s="17"/>
      <c r="O43" s="9"/>
      <c r="Q43" s="17"/>
      <c r="R43" s="17"/>
      <c r="S43" s="17"/>
    </row>
    <row r="44" spans="1:19" x14ac:dyDescent="0.25">
      <c r="A44" s="9" t="s">
        <v>136</v>
      </c>
      <c r="B44" s="8" t="s">
        <v>137</v>
      </c>
      <c r="C44" s="17">
        <v>20525225.920000002</v>
      </c>
      <c r="D44" s="17">
        <v>2199409</v>
      </c>
      <c r="E44" s="8">
        <v>28</v>
      </c>
      <c r="F44" s="9" t="s">
        <v>85</v>
      </c>
      <c r="G44" s="9">
        <v>0</v>
      </c>
      <c r="H44" s="12">
        <v>3.5700000000000003E-2</v>
      </c>
      <c r="I44" s="17">
        <f>ROUND((C44*H44),0)</f>
        <v>732751</v>
      </c>
      <c r="J44" s="17">
        <v>5203936.34</v>
      </c>
      <c r="K44" s="17">
        <f>D44-J44</f>
        <v>-3004527.34</v>
      </c>
      <c r="M44" s="8">
        <v>26</v>
      </c>
      <c r="N44" s="9" t="s">
        <v>241</v>
      </c>
      <c r="O44" s="9">
        <v>0</v>
      </c>
      <c r="P44" s="12">
        <v>3.8499999459583899E-2</v>
      </c>
      <c r="Q44" s="17">
        <f t="shared" si="2"/>
        <v>790221.18682783749</v>
      </c>
      <c r="R44" s="17">
        <v>5056707</v>
      </c>
      <c r="S44" s="17">
        <f t="shared" si="3"/>
        <v>-2857298</v>
      </c>
    </row>
    <row r="45" spans="1:19" x14ac:dyDescent="0.25">
      <c r="C45" s="17"/>
      <c r="D45" s="17"/>
      <c r="G45" s="9"/>
      <c r="H45" s="12"/>
      <c r="I45" s="17"/>
      <c r="J45" s="17"/>
      <c r="K45" s="17"/>
      <c r="O45" s="9"/>
      <c r="Q45" s="17"/>
      <c r="R45" s="17"/>
      <c r="S45" s="17"/>
    </row>
    <row r="46" spans="1:19" x14ac:dyDescent="0.25">
      <c r="A46" s="9" t="s">
        <v>138</v>
      </c>
      <c r="B46" s="8" t="s">
        <v>139</v>
      </c>
      <c r="C46" s="17">
        <v>1234668.1100000001</v>
      </c>
      <c r="D46" s="17">
        <v>733962</v>
      </c>
      <c r="E46" s="8">
        <v>45</v>
      </c>
      <c r="F46" s="9" t="s">
        <v>91</v>
      </c>
      <c r="G46" s="9">
        <v>-30</v>
      </c>
      <c r="H46" s="12">
        <v>2.8899999999999999E-2</v>
      </c>
      <c r="I46" s="17">
        <f>ROUND((C46*H46),0)</f>
        <v>35682</v>
      </c>
      <c r="J46" s="17">
        <v>671926.22</v>
      </c>
      <c r="K46" s="17">
        <f>D46-J46</f>
        <v>62035.780000000028</v>
      </c>
      <c r="M46" s="8">
        <v>45</v>
      </c>
      <c r="N46" s="9" t="s">
        <v>84</v>
      </c>
      <c r="O46" s="9">
        <v>-30</v>
      </c>
      <c r="P46" s="12">
        <v>2.8860226705827548E-2</v>
      </c>
      <c r="Q46" s="17">
        <f t="shared" si="2"/>
        <v>35632.801561055625</v>
      </c>
      <c r="R46" s="17">
        <v>655385</v>
      </c>
      <c r="S46" s="17">
        <f t="shared" si="3"/>
        <v>78577</v>
      </c>
    </row>
    <row r="47" spans="1:19" ht="15.6" x14ac:dyDescent="0.3">
      <c r="B47" s="4"/>
      <c r="C47" s="17"/>
      <c r="D47" s="17"/>
      <c r="G47" s="9"/>
      <c r="H47" s="12"/>
      <c r="I47" s="17"/>
      <c r="J47" s="17"/>
      <c r="K47" s="17"/>
      <c r="O47" s="9"/>
      <c r="Q47" s="17"/>
      <c r="R47" s="17"/>
      <c r="S47" s="17"/>
    </row>
    <row r="48" spans="1:19" x14ac:dyDescent="0.25">
      <c r="A48" s="9" t="s">
        <v>140</v>
      </c>
      <c r="B48" s="8" t="s">
        <v>139</v>
      </c>
      <c r="C48" s="17">
        <v>203951.32</v>
      </c>
      <c r="D48" s="17">
        <v>197144</v>
      </c>
      <c r="E48" s="8">
        <v>40</v>
      </c>
      <c r="F48" s="9" t="s">
        <v>63</v>
      </c>
      <c r="G48" s="9">
        <v>-30</v>
      </c>
      <c r="H48" s="12">
        <v>3.2500000000000001E-2</v>
      </c>
      <c r="I48" s="17">
        <f>ROUND((C48*H48),0)</f>
        <v>6628</v>
      </c>
      <c r="J48" s="17">
        <v>135822.79</v>
      </c>
      <c r="K48" s="17">
        <f>D48-J48</f>
        <v>61321.209999999992</v>
      </c>
      <c r="M48" s="8">
        <v>35</v>
      </c>
      <c r="N48" s="9" t="s">
        <v>56</v>
      </c>
      <c r="O48" s="9">
        <v>-30</v>
      </c>
      <c r="P48" s="12">
        <v>3.717856390509644E-2</v>
      </c>
      <c r="Q48" s="20">
        <f t="shared" si="2"/>
        <v>7582.617184148774</v>
      </c>
      <c r="R48" s="17">
        <v>146473</v>
      </c>
      <c r="S48" s="17">
        <f t="shared" si="3"/>
        <v>50671</v>
      </c>
    </row>
    <row r="49" spans="1:20" ht="15.6" x14ac:dyDescent="0.3">
      <c r="B49" s="4"/>
      <c r="C49" s="29"/>
      <c r="D49" s="29"/>
      <c r="E49" s="29"/>
      <c r="F49" s="29"/>
      <c r="G49" s="29"/>
      <c r="H49" s="13"/>
      <c r="I49" s="29"/>
      <c r="J49" s="29"/>
      <c r="K49" s="29"/>
      <c r="M49" s="29"/>
      <c r="N49" s="29"/>
      <c r="O49" s="38"/>
      <c r="P49" s="48"/>
      <c r="Q49" s="17"/>
      <c r="R49" s="29"/>
      <c r="S49" s="29"/>
    </row>
    <row r="50" spans="1:20" ht="16.2" thickBot="1" x14ac:dyDescent="0.35">
      <c r="B50" s="4" t="s">
        <v>115</v>
      </c>
      <c r="C50" s="17">
        <f>SUM(C29:C49)</f>
        <v>555703707.01999998</v>
      </c>
      <c r="D50" s="17">
        <f>SUM(D29:D49)</f>
        <v>100636232</v>
      </c>
      <c r="H50" s="12">
        <f>ROUND((I50/C50),4)</f>
        <v>1.9099999999999999E-2</v>
      </c>
      <c r="I50" s="17">
        <f>SUM(I29:I49)</f>
        <v>10586611</v>
      </c>
      <c r="J50" s="17">
        <f>SUM(J29:J49)</f>
        <v>98865591.359999999</v>
      </c>
      <c r="K50" s="17">
        <f>SUM(K29:K49)</f>
        <v>1771670.9800000002</v>
      </c>
      <c r="O50" s="9"/>
      <c r="P50" s="12">
        <v>2.2707999999999999E-2</v>
      </c>
      <c r="Q50" s="17">
        <f t="shared" si="2"/>
        <v>12618919.77901016</v>
      </c>
      <c r="R50" s="17">
        <f>SUM(R29:R49)</f>
        <v>118706308</v>
      </c>
      <c r="S50" s="17">
        <f>SUM(S29:S49)</f>
        <v>-18062008.560000002</v>
      </c>
    </row>
    <row r="51" spans="1:20" ht="15.6" thickTop="1" x14ac:dyDescent="0.25">
      <c r="C51" s="36"/>
      <c r="D51" s="36"/>
      <c r="E51" s="36"/>
      <c r="F51" s="36"/>
      <c r="G51" s="36"/>
      <c r="H51" s="14"/>
      <c r="I51" s="36"/>
      <c r="J51" s="36"/>
      <c r="K51" s="36"/>
      <c r="M51" s="36"/>
      <c r="N51" s="36"/>
      <c r="O51" s="49"/>
      <c r="P51" s="14"/>
      <c r="Q51" s="36"/>
      <c r="R51" s="36"/>
      <c r="S51" s="36"/>
    </row>
    <row r="52" spans="1:20" ht="15.6" x14ac:dyDescent="0.3">
      <c r="B52" s="4" t="s">
        <v>285</v>
      </c>
      <c r="C52" s="17">
        <f>SUM(C26+C50)</f>
        <v>601929202.56999993</v>
      </c>
      <c r="D52" s="17">
        <f>SUM(D26+D50)</f>
        <v>119526533</v>
      </c>
      <c r="H52" s="17">
        <f>SUM(H26+H50)</f>
        <v>3.9800000000000002E-2</v>
      </c>
      <c r="I52" s="17">
        <f>SUM(I26+I50)</f>
        <v>11544643</v>
      </c>
      <c r="J52" s="17">
        <f>SUM(J26+J50)</f>
        <v>116839904.25999999</v>
      </c>
      <c r="K52" s="17">
        <f>SUM(K26+K50)</f>
        <v>2687659.0799999996</v>
      </c>
      <c r="O52" s="9"/>
      <c r="P52" s="17">
        <f>SUM(P26+P50)</f>
        <v>4.7500000000000001E-2</v>
      </c>
      <c r="Q52" s="17">
        <f>SUM(Q26+Q50)</f>
        <v>13764942.264685759</v>
      </c>
      <c r="R52" s="17">
        <f>SUM(R26+R50)</f>
        <v>140255124</v>
      </c>
      <c r="S52" s="17">
        <f>SUM(S26+S50)</f>
        <v>-20720523.560000002</v>
      </c>
    </row>
    <row r="53" spans="1:20" x14ac:dyDescent="0.25">
      <c r="C53" s="17"/>
      <c r="D53" s="17"/>
      <c r="H53" s="12"/>
      <c r="I53" s="17"/>
      <c r="J53" s="17"/>
      <c r="K53" s="17"/>
      <c r="O53" s="9"/>
      <c r="Q53" s="17"/>
      <c r="R53" s="17"/>
    </row>
    <row r="54" spans="1:20" x14ac:dyDescent="0.25">
      <c r="L54" s="19" t="s">
        <v>254</v>
      </c>
      <c r="T54" s="19" t="s">
        <v>254</v>
      </c>
    </row>
    <row r="55" spans="1:20" ht="15.6" x14ac:dyDescent="0.3">
      <c r="A55" s="4"/>
      <c r="L55" s="19" t="s">
        <v>118</v>
      </c>
      <c r="T55" s="19" t="s">
        <v>118</v>
      </c>
    </row>
    <row r="56" spans="1:20" ht="15.6" x14ac:dyDescent="0.3">
      <c r="A56" s="4"/>
      <c r="L56" s="19" t="s">
        <v>312</v>
      </c>
      <c r="T56" s="19" t="s">
        <v>314</v>
      </c>
    </row>
    <row r="57" spans="1:20" ht="15.6" x14ac:dyDescent="0.3">
      <c r="A57" s="55" t="s">
        <v>0</v>
      </c>
      <c r="B57" s="16"/>
      <c r="C57" s="16"/>
      <c r="D57" s="16"/>
      <c r="E57" s="16"/>
      <c r="F57" s="16"/>
      <c r="G57" s="16"/>
    </row>
    <row r="58" spans="1:20" ht="15.6" x14ac:dyDescent="0.3">
      <c r="A58" s="55" t="s">
        <v>299</v>
      </c>
      <c r="B58" s="16"/>
      <c r="C58" s="16"/>
      <c r="D58" s="16"/>
      <c r="E58" s="16"/>
      <c r="F58" s="16"/>
      <c r="G58" s="16"/>
    </row>
    <row r="59" spans="1:20" ht="15.6" x14ac:dyDescent="0.3">
      <c r="A59" s="55" t="s">
        <v>119</v>
      </c>
      <c r="B59" s="16"/>
      <c r="C59" s="16"/>
      <c r="D59" s="16"/>
      <c r="E59" s="16"/>
      <c r="F59" s="16"/>
      <c r="G59" s="16"/>
    </row>
    <row r="60" spans="1:20" ht="15.6" x14ac:dyDescent="0.3">
      <c r="A60" s="4"/>
    </row>
    <row r="61" spans="1:20" ht="16.2" thickBot="1" x14ac:dyDescent="0.35">
      <c r="E61" s="63" t="s">
        <v>293</v>
      </c>
      <c r="F61" s="63"/>
      <c r="G61" s="63"/>
      <c r="H61" s="63"/>
      <c r="I61" s="63"/>
      <c r="J61" s="63"/>
      <c r="K61" s="63"/>
      <c r="M61" s="63" t="s">
        <v>307</v>
      </c>
      <c r="N61" s="63"/>
      <c r="O61" s="63"/>
      <c r="P61" s="63"/>
      <c r="Q61" s="63"/>
      <c r="R61" s="63"/>
      <c r="S61" s="63"/>
    </row>
    <row r="63" spans="1:20" x14ac:dyDescent="0.25">
      <c r="D63" s="18">
        <v>43830</v>
      </c>
    </row>
    <row r="64" spans="1:20" x14ac:dyDescent="0.25">
      <c r="D64" s="9" t="s">
        <v>2</v>
      </c>
      <c r="K64" s="9" t="s">
        <v>3</v>
      </c>
      <c r="S64" s="9" t="s">
        <v>3</v>
      </c>
    </row>
    <row r="65" spans="1:19" x14ac:dyDescent="0.25">
      <c r="C65" s="9" t="s">
        <v>4</v>
      </c>
      <c r="D65" s="9" t="s">
        <v>5</v>
      </c>
      <c r="F65" s="9" t="s">
        <v>29</v>
      </c>
      <c r="G65" s="9" t="s">
        <v>30</v>
      </c>
      <c r="H65" s="9" t="s">
        <v>31</v>
      </c>
      <c r="I65" s="9" t="s">
        <v>6</v>
      </c>
      <c r="J65" s="9" t="s">
        <v>7</v>
      </c>
      <c r="K65" s="9" t="s">
        <v>120</v>
      </c>
      <c r="N65" s="9" t="s">
        <v>29</v>
      </c>
      <c r="O65" s="9" t="s">
        <v>30</v>
      </c>
      <c r="P65" s="34" t="s">
        <v>31</v>
      </c>
      <c r="Q65" s="9" t="s">
        <v>6</v>
      </c>
      <c r="R65" s="9" t="s">
        <v>7</v>
      </c>
      <c r="S65" s="9" t="s">
        <v>120</v>
      </c>
    </row>
    <row r="66" spans="1:19" x14ac:dyDescent="0.25">
      <c r="A66" s="6" t="s">
        <v>33</v>
      </c>
      <c r="B66" s="6" t="s">
        <v>34</v>
      </c>
      <c r="C66" s="6" t="s">
        <v>294</v>
      </c>
      <c r="D66" s="6" t="s">
        <v>9</v>
      </c>
      <c r="E66" s="6" t="s">
        <v>35</v>
      </c>
      <c r="F66" s="6" t="s">
        <v>36</v>
      </c>
      <c r="G66" s="6" t="s">
        <v>37</v>
      </c>
      <c r="H66" s="6" t="s">
        <v>41</v>
      </c>
      <c r="I66" s="6" t="s">
        <v>10</v>
      </c>
      <c r="J66" s="6" t="s">
        <v>11</v>
      </c>
      <c r="K66" s="6" t="s">
        <v>11</v>
      </c>
      <c r="L66" s="7"/>
      <c r="M66" s="6" t="s">
        <v>35</v>
      </c>
      <c r="N66" s="6" t="s">
        <v>36</v>
      </c>
      <c r="O66" s="6" t="s">
        <v>37</v>
      </c>
      <c r="P66" s="35" t="s">
        <v>41</v>
      </c>
      <c r="Q66" s="6" t="s">
        <v>10</v>
      </c>
      <c r="R66" s="6" t="s">
        <v>11</v>
      </c>
      <c r="S66" s="6" t="s">
        <v>11</v>
      </c>
    </row>
    <row r="68" spans="1:19" ht="15.6" x14ac:dyDescent="0.3">
      <c r="B68" s="4" t="s">
        <v>142</v>
      </c>
      <c r="C68" s="17"/>
      <c r="D68" s="17"/>
      <c r="H68" s="12"/>
      <c r="I68" s="17"/>
      <c r="J68" s="17"/>
      <c r="K68" s="17"/>
      <c r="O68" s="9"/>
      <c r="Q68" s="17"/>
      <c r="R68" s="17"/>
    </row>
    <row r="69" spans="1:19" x14ac:dyDescent="0.25">
      <c r="C69" s="17"/>
      <c r="D69" s="17"/>
      <c r="H69" s="12"/>
      <c r="I69" s="17"/>
      <c r="J69" s="17"/>
      <c r="K69" s="17"/>
    </row>
    <row r="70" spans="1:19" x14ac:dyDescent="0.25">
      <c r="A70" s="9" t="s">
        <v>202</v>
      </c>
      <c r="B70" s="8" t="s">
        <v>208</v>
      </c>
      <c r="C70" s="17">
        <v>7131</v>
      </c>
      <c r="D70" s="17">
        <v>2795</v>
      </c>
      <c r="E70" s="8">
        <v>70</v>
      </c>
      <c r="F70" s="9" t="s">
        <v>48</v>
      </c>
      <c r="G70" s="9">
        <v>0</v>
      </c>
      <c r="H70" s="12">
        <v>1.43E-2</v>
      </c>
      <c r="I70" s="17">
        <f>ROUND((C70*H70),0)</f>
        <v>102</v>
      </c>
      <c r="J70" s="17">
        <v>2765.18</v>
      </c>
      <c r="K70" s="17">
        <f>D70-J70</f>
        <v>29.820000000000164</v>
      </c>
      <c r="M70" s="8">
        <v>70</v>
      </c>
      <c r="N70" s="9" t="s">
        <v>48</v>
      </c>
      <c r="O70" s="9">
        <v>0</v>
      </c>
      <c r="P70" s="12">
        <v>1.4303744215397559E-2</v>
      </c>
      <c r="Q70" s="17">
        <f>C70*P70</f>
        <v>102</v>
      </c>
      <c r="R70" s="17">
        <v>2765.18</v>
      </c>
      <c r="S70" s="17">
        <f>D70-R70</f>
        <v>29.820000000000164</v>
      </c>
    </row>
    <row r="71" spans="1:19" x14ac:dyDescent="0.25">
      <c r="A71" s="9" t="s">
        <v>203</v>
      </c>
      <c r="B71" s="8" t="s">
        <v>279</v>
      </c>
      <c r="C71" s="17">
        <v>147779</v>
      </c>
      <c r="D71" s="17">
        <v>147779</v>
      </c>
      <c r="F71" s="9"/>
      <c r="G71" s="9">
        <v>0</v>
      </c>
      <c r="H71" s="12">
        <v>0</v>
      </c>
      <c r="I71" s="17">
        <f>ROUND((C71*H71),0)</f>
        <v>0</v>
      </c>
      <c r="J71" s="17">
        <v>0</v>
      </c>
      <c r="K71" s="17">
        <f>D71-J71</f>
        <v>147779</v>
      </c>
      <c r="M71" s="64" t="s">
        <v>289</v>
      </c>
      <c r="N71" s="64"/>
      <c r="O71" s="9">
        <v>0</v>
      </c>
      <c r="P71" s="12">
        <v>0</v>
      </c>
      <c r="Q71" s="17">
        <f t="shared" ref="Q71:Q86" si="4">C71*P71</f>
        <v>0</v>
      </c>
      <c r="R71" s="17">
        <v>147779</v>
      </c>
      <c r="S71" s="17">
        <f>D71-R71</f>
        <v>0</v>
      </c>
    </row>
    <row r="72" spans="1:19" x14ac:dyDescent="0.25">
      <c r="A72" s="9"/>
      <c r="C72" s="17"/>
      <c r="D72" s="17"/>
      <c r="F72" s="9"/>
      <c r="G72" s="9"/>
      <c r="H72" s="12"/>
      <c r="I72" s="17"/>
      <c r="J72" s="17"/>
      <c r="K72" s="17"/>
      <c r="N72" s="9"/>
      <c r="O72" s="9"/>
      <c r="Q72" s="17"/>
      <c r="R72" s="17"/>
      <c r="S72" s="17"/>
    </row>
    <row r="73" spans="1:19" ht="15.6" x14ac:dyDescent="0.3">
      <c r="B73" s="4"/>
      <c r="C73" s="17"/>
      <c r="D73" s="17"/>
      <c r="G73" s="9"/>
      <c r="H73" s="12"/>
      <c r="I73" s="17"/>
      <c r="J73" s="17"/>
      <c r="K73" s="17"/>
      <c r="O73" s="9"/>
      <c r="Q73" s="17"/>
      <c r="R73" s="17"/>
      <c r="S73" s="17"/>
    </row>
    <row r="74" spans="1:19" x14ac:dyDescent="0.25">
      <c r="A74" s="9" t="s">
        <v>204</v>
      </c>
      <c r="B74" s="8" t="s">
        <v>44</v>
      </c>
      <c r="C74" s="17">
        <v>21435</v>
      </c>
      <c r="D74" s="17">
        <v>55841</v>
      </c>
      <c r="E74" s="8">
        <v>50</v>
      </c>
      <c r="F74" s="9" t="s">
        <v>84</v>
      </c>
      <c r="G74" s="9">
        <v>-25</v>
      </c>
      <c r="H74" s="12">
        <v>2.5000000000000001E-2</v>
      </c>
      <c r="I74" s="17">
        <f>ROUND((C74*H74),0)</f>
        <v>536</v>
      </c>
      <c r="J74" s="17">
        <v>12039.56</v>
      </c>
      <c r="K74" s="17">
        <f>D74-J74</f>
        <v>43801.440000000002</v>
      </c>
      <c r="M74" s="8">
        <v>50</v>
      </c>
      <c r="N74" s="9" t="s">
        <v>84</v>
      </c>
      <c r="O74" s="9">
        <v>-25</v>
      </c>
      <c r="P74" s="12">
        <v>2.5005831583858176E-2</v>
      </c>
      <c r="Q74" s="17">
        <f t="shared" si="4"/>
        <v>536</v>
      </c>
      <c r="R74" s="17">
        <v>12038</v>
      </c>
      <c r="S74" s="17">
        <f>D74-R74</f>
        <v>43803</v>
      </c>
    </row>
    <row r="75" spans="1:19" x14ac:dyDescent="0.25">
      <c r="A75" s="9" t="s">
        <v>212</v>
      </c>
      <c r="B75" s="8" t="s">
        <v>275</v>
      </c>
      <c r="C75" s="17">
        <v>107175</v>
      </c>
      <c r="D75" s="17">
        <v>118165</v>
      </c>
      <c r="F75" s="9"/>
      <c r="G75" s="9">
        <v>-55</v>
      </c>
      <c r="H75" s="12">
        <v>1.0999999999999999E-2</v>
      </c>
      <c r="I75" s="17">
        <f>ROUND((C75*H75),0)</f>
        <v>1179</v>
      </c>
      <c r="J75" s="17">
        <v>0</v>
      </c>
      <c r="K75" s="17">
        <f>D75-J75</f>
        <v>118165</v>
      </c>
      <c r="M75" s="8">
        <v>30</v>
      </c>
      <c r="N75" s="9" t="s">
        <v>84</v>
      </c>
      <c r="O75" s="9">
        <v>-25</v>
      </c>
      <c r="P75" s="12">
        <v>4.1660835082808489E-2</v>
      </c>
      <c r="Q75" s="17">
        <f t="shared" si="4"/>
        <v>4465</v>
      </c>
      <c r="R75" s="17">
        <v>114180</v>
      </c>
      <c r="S75" s="17">
        <f>D75-R75</f>
        <v>3985</v>
      </c>
    </row>
    <row r="76" spans="1:19" x14ac:dyDescent="0.25">
      <c r="C76" s="17"/>
      <c r="D76" s="17"/>
      <c r="G76" s="9"/>
      <c r="H76" s="12"/>
      <c r="I76" s="17"/>
      <c r="J76" s="17"/>
      <c r="K76" s="17"/>
      <c r="N76" s="9"/>
      <c r="O76" s="9"/>
      <c r="Q76" s="17"/>
      <c r="R76" s="17"/>
      <c r="S76" s="17"/>
    </row>
    <row r="77" spans="1:19" x14ac:dyDescent="0.25">
      <c r="A77" s="9" t="s">
        <v>205</v>
      </c>
      <c r="B77" s="8" t="s">
        <v>209</v>
      </c>
      <c r="C77" s="17">
        <v>435508</v>
      </c>
      <c r="D77" s="17">
        <v>181580</v>
      </c>
      <c r="E77" s="8">
        <v>80</v>
      </c>
      <c r="F77" s="9" t="s">
        <v>45</v>
      </c>
      <c r="G77" s="9">
        <v>-25</v>
      </c>
      <c r="H77" s="12">
        <v>1.5599999999999999E-2</v>
      </c>
      <c r="I77" s="17">
        <f>ROUND((C77*H77),0)</f>
        <v>6794</v>
      </c>
      <c r="J77" s="17">
        <v>17787.96</v>
      </c>
      <c r="K77" s="17">
        <f>D77-J77</f>
        <v>163792.04</v>
      </c>
      <c r="M77" s="8">
        <v>75</v>
      </c>
      <c r="N77" s="9" t="s">
        <v>45</v>
      </c>
      <c r="O77" s="9">
        <v>-25</v>
      </c>
      <c r="P77" s="12">
        <v>1.6624264077812579E-2</v>
      </c>
      <c r="Q77" s="17">
        <f t="shared" si="4"/>
        <v>7240.0000000000009</v>
      </c>
      <c r="R77" s="17">
        <v>189081</v>
      </c>
      <c r="S77" s="17">
        <f>D77-R77</f>
        <v>-7501</v>
      </c>
    </row>
    <row r="78" spans="1:19" x14ac:dyDescent="0.25">
      <c r="A78" s="9" t="s">
        <v>213</v>
      </c>
      <c r="B78" s="8" t="s">
        <v>274</v>
      </c>
      <c r="C78" s="17">
        <v>10374897.5</v>
      </c>
      <c r="D78" s="17">
        <v>10703154</v>
      </c>
      <c r="F78" s="9"/>
      <c r="G78" s="9">
        <v>-25</v>
      </c>
      <c r="H78" s="12">
        <v>3.0999999999999999E-3</v>
      </c>
      <c r="I78" s="17">
        <f>ROUND((C78*H78),0)</f>
        <v>32162</v>
      </c>
      <c r="J78" s="17">
        <v>0</v>
      </c>
      <c r="K78" s="17">
        <f>D78-J78</f>
        <v>10703154</v>
      </c>
      <c r="M78" s="8">
        <v>30</v>
      </c>
      <c r="N78" s="9" t="s">
        <v>45</v>
      </c>
      <c r="O78" s="9">
        <v>-25</v>
      </c>
      <c r="P78" s="12">
        <v>3.9404823035601076E-2</v>
      </c>
      <c r="Q78" s="17">
        <f t="shared" si="4"/>
        <v>408821</v>
      </c>
      <c r="R78" s="17">
        <v>11019527</v>
      </c>
      <c r="S78" s="17">
        <f>D78-R78</f>
        <v>-316373</v>
      </c>
    </row>
    <row r="79" spans="1:19" x14ac:dyDescent="0.25">
      <c r="A79" s="9"/>
      <c r="C79" s="17"/>
      <c r="D79" s="17"/>
      <c r="F79" s="9"/>
      <c r="G79" s="9"/>
      <c r="H79" s="12"/>
      <c r="I79" s="17"/>
      <c r="J79" s="17"/>
      <c r="K79" s="17"/>
      <c r="M79" s="9"/>
      <c r="N79" s="9"/>
      <c r="O79" s="9"/>
      <c r="P79" s="12"/>
      <c r="Q79" s="17"/>
      <c r="R79" s="17"/>
      <c r="S79" s="17"/>
    </row>
    <row r="80" spans="1:19" x14ac:dyDescent="0.25">
      <c r="A80" s="9" t="s">
        <v>206</v>
      </c>
      <c r="B80" s="8" t="s">
        <v>210</v>
      </c>
      <c r="C80" s="17">
        <f>272574</f>
        <v>272574</v>
      </c>
      <c r="D80" s="17">
        <v>499100</v>
      </c>
      <c r="E80" s="8">
        <v>40</v>
      </c>
      <c r="F80" s="9" t="s">
        <v>114</v>
      </c>
      <c r="G80" s="9">
        <v>-25</v>
      </c>
      <c r="H80" s="12">
        <v>3.1300000000000001E-2</v>
      </c>
      <c r="I80" s="17">
        <f>ROUND((C80*H80),0)</f>
        <v>8532</v>
      </c>
      <c r="J80" s="17">
        <v>107139.43</v>
      </c>
      <c r="K80" s="17">
        <f>D80-J80</f>
        <v>391960.57</v>
      </c>
      <c r="M80" s="8">
        <v>33</v>
      </c>
      <c r="N80" s="9" t="s">
        <v>241</v>
      </c>
      <c r="O80" s="9">
        <v>-25</v>
      </c>
      <c r="P80" s="12">
        <v>3.7875952952225816E-2</v>
      </c>
      <c r="Q80" s="17">
        <f t="shared" si="4"/>
        <v>10324</v>
      </c>
      <c r="R80" s="17">
        <v>160072</v>
      </c>
      <c r="S80" s="17">
        <f>D80-R80</f>
        <v>339028</v>
      </c>
    </row>
    <row r="81" spans="1:19" x14ac:dyDescent="0.25">
      <c r="A81" s="9" t="s">
        <v>214</v>
      </c>
      <c r="B81" s="8" t="s">
        <v>273</v>
      </c>
      <c r="C81" s="17">
        <v>1362845.84</v>
      </c>
      <c r="D81" s="17">
        <v>1436564</v>
      </c>
      <c r="F81" s="9"/>
      <c r="G81" s="9">
        <v>-25</v>
      </c>
      <c r="H81" s="12">
        <v>6.3E-3</v>
      </c>
      <c r="I81" s="17">
        <f>ROUND((C81*H81),0)</f>
        <v>8586</v>
      </c>
      <c r="J81" s="17">
        <v>0</v>
      </c>
      <c r="K81" s="17">
        <f>D81-J81</f>
        <v>1436564</v>
      </c>
      <c r="M81" s="8">
        <v>30</v>
      </c>
      <c r="N81" s="9" t="s">
        <v>241</v>
      </c>
      <c r="O81" s="9">
        <v>-25</v>
      </c>
      <c r="P81" s="12">
        <v>4.9853767759969095E-2</v>
      </c>
      <c r="Q81" s="17">
        <f t="shared" si="4"/>
        <v>67943</v>
      </c>
      <c r="R81" s="17">
        <v>1389455</v>
      </c>
      <c r="S81" s="17">
        <f>D81-R81</f>
        <v>47109</v>
      </c>
    </row>
    <row r="82" spans="1:19" x14ac:dyDescent="0.25">
      <c r="A82" s="9"/>
      <c r="C82" s="17"/>
      <c r="D82" s="17"/>
      <c r="F82" s="9"/>
      <c r="G82" s="9"/>
      <c r="H82" s="12"/>
      <c r="I82" s="17"/>
      <c r="J82" s="17"/>
      <c r="K82" s="17"/>
      <c r="Q82" s="17"/>
      <c r="R82" s="17"/>
    </row>
    <row r="83" spans="1:19" x14ac:dyDescent="0.25">
      <c r="A83" s="9" t="s">
        <v>207</v>
      </c>
      <c r="B83" s="8" t="s">
        <v>211</v>
      </c>
      <c r="C83" s="17">
        <v>0.5</v>
      </c>
      <c r="D83" s="17">
        <v>14261</v>
      </c>
      <c r="E83" s="8">
        <v>22</v>
      </c>
      <c r="F83" s="9" t="s">
        <v>232</v>
      </c>
      <c r="G83" s="9">
        <v>-25</v>
      </c>
      <c r="H83" s="12">
        <v>5.6800000000000003E-2</v>
      </c>
      <c r="I83" s="17">
        <f>ROUND((C83*H83),0)</f>
        <v>0</v>
      </c>
      <c r="J83" s="17">
        <v>0</v>
      </c>
      <c r="K83" s="17">
        <f>D83-J83</f>
        <v>14261</v>
      </c>
      <c r="M83" s="8">
        <v>22</v>
      </c>
      <c r="N83" s="9" t="s">
        <v>85</v>
      </c>
      <c r="O83" s="9">
        <v>-25</v>
      </c>
      <c r="P83" s="12">
        <v>0</v>
      </c>
      <c r="Q83" s="17">
        <f t="shared" si="4"/>
        <v>0</v>
      </c>
      <c r="R83" s="17">
        <v>0</v>
      </c>
      <c r="S83" s="17">
        <f>D83-R83</f>
        <v>14261</v>
      </c>
    </row>
    <row r="84" spans="1:19" x14ac:dyDescent="0.25">
      <c r="A84" s="9" t="s">
        <v>215</v>
      </c>
      <c r="B84" s="8" t="s">
        <v>272</v>
      </c>
      <c r="C84" s="17">
        <v>0.5</v>
      </c>
      <c r="D84" s="17">
        <v>3821.5</v>
      </c>
      <c r="F84" s="9"/>
      <c r="G84" s="9">
        <v>-25</v>
      </c>
      <c r="H84" s="12">
        <v>1.32E-2</v>
      </c>
      <c r="I84" s="17">
        <f>ROUND((C84*H84),0)</f>
        <v>0</v>
      </c>
      <c r="J84" s="17">
        <v>3821.5</v>
      </c>
      <c r="K84" s="17">
        <f>D84-J84</f>
        <v>0</v>
      </c>
      <c r="M84" s="64" t="s">
        <v>289</v>
      </c>
      <c r="N84" s="64"/>
      <c r="O84" s="9">
        <v>-25</v>
      </c>
      <c r="P84" s="12">
        <v>0</v>
      </c>
      <c r="Q84" s="20">
        <f t="shared" si="4"/>
        <v>0</v>
      </c>
      <c r="R84" s="17">
        <v>0</v>
      </c>
      <c r="S84" s="17">
        <f>D84-R84</f>
        <v>3821.5</v>
      </c>
    </row>
    <row r="85" spans="1:19" x14ac:dyDescent="0.25">
      <c r="C85" s="29"/>
      <c r="D85" s="29"/>
      <c r="E85" s="29"/>
      <c r="F85" s="29"/>
      <c r="G85" s="29"/>
      <c r="H85" s="13"/>
      <c r="I85" s="29"/>
      <c r="J85" s="29"/>
      <c r="K85" s="29"/>
      <c r="M85" s="29"/>
      <c r="N85" s="29"/>
      <c r="O85" s="38"/>
      <c r="P85" s="48"/>
      <c r="Q85" s="17"/>
      <c r="R85" s="29"/>
      <c r="S85" s="29"/>
    </row>
    <row r="86" spans="1:19" ht="15.6" x14ac:dyDescent="0.3">
      <c r="B86" s="4" t="s">
        <v>143</v>
      </c>
      <c r="C86" s="17">
        <f>C70+C71+C74+C75+C77+C78+C80+C81</f>
        <v>12729345.34</v>
      </c>
      <c r="D86" s="17">
        <f>SUM(D70:D84)</f>
        <v>13163060.5</v>
      </c>
      <c r="H86" s="12">
        <f>ROUND((I86/C86),4)</f>
        <v>4.4999999999999997E-3</v>
      </c>
      <c r="I86" s="17">
        <f>SUM(I69:I84)</f>
        <v>57891</v>
      </c>
      <c r="J86" s="17">
        <f>SUM(J70:J84)</f>
        <v>143553.63</v>
      </c>
      <c r="K86" s="17">
        <f>SUM(K70:K84)</f>
        <v>13019506.870000001</v>
      </c>
      <c r="O86" s="9"/>
      <c r="P86" s="12">
        <v>3.9199999999999999E-2</v>
      </c>
      <c r="Q86" s="17">
        <f t="shared" si="4"/>
        <v>498990.33732799999</v>
      </c>
      <c r="R86" s="17">
        <f>SUM(R70:R84)</f>
        <v>13034897.18</v>
      </c>
      <c r="S86" s="17">
        <f>SUM(S70:S84)</f>
        <v>128163.32</v>
      </c>
    </row>
    <row r="87" spans="1:19" x14ac:dyDescent="0.25">
      <c r="C87" s="17"/>
      <c r="D87" s="17"/>
      <c r="H87" s="12"/>
      <c r="I87" s="17"/>
      <c r="J87" s="17"/>
      <c r="K87" s="17"/>
      <c r="R87" s="17"/>
    </row>
    <row r="88" spans="1:19" x14ac:dyDescent="0.25">
      <c r="C88" s="17"/>
      <c r="D88" s="17"/>
      <c r="H88" s="12"/>
      <c r="I88" s="17"/>
      <c r="J88" s="17"/>
      <c r="K88" s="17"/>
      <c r="R88" s="17"/>
    </row>
    <row r="89" spans="1:19" ht="15.6" x14ac:dyDescent="0.3">
      <c r="B89" s="4" t="s">
        <v>141</v>
      </c>
      <c r="C89" s="17">
        <f>+C52+C86</f>
        <v>614658547.90999997</v>
      </c>
      <c r="D89" s="17">
        <f>+D52+D86</f>
        <v>132689593.5</v>
      </c>
      <c r="E89" s="17"/>
      <c r="F89" s="17"/>
      <c r="G89" s="17"/>
      <c r="H89" s="12"/>
      <c r="I89" s="17">
        <f>+I52+I86</f>
        <v>11602534</v>
      </c>
      <c r="J89" s="17">
        <f>+J52+J86</f>
        <v>116983457.88999999</v>
      </c>
      <c r="K89" s="17">
        <f>+K52+K86</f>
        <v>15707165.950000001</v>
      </c>
      <c r="L89" s="17"/>
      <c r="M89" s="17"/>
      <c r="N89" s="17"/>
      <c r="O89" s="17"/>
      <c r="P89" s="17"/>
      <c r="Q89" s="17">
        <f>+Q52+Q86</f>
        <v>14263932.602013759</v>
      </c>
      <c r="R89" s="17">
        <f>+R52+R86</f>
        <v>153290021.18000001</v>
      </c>
      <c r="S89" s="17">
        <f>+S52+S86</f>
        <v>-20592360.240000002</v>
      </c>
    </row>
    <row r="90" spans="1:19" x14ac:dyDescent="0.25">
      <c r="C90" s="17"/>
      <c r="D90" s="17"/>
      <c r="H90" s="12"/>
      <c r="I90" s="17"/>
      <c r="J90" s="17"/>
      <c r="K90" s="17"/>
      <c r="R90" s="17"/>
    </row>
    <row r="91" spans="1:19" x14ac:dyDescent="0.25">
      <c r="B91" s="50" t="s">
        <v>278</v>
      </c>
      <c r="C91" s="17"/>
      <c r="D91" s="17"/>
      <c r="H91" s="10"/>
      <c r="I91" s="17"/>
      <c r="J91" s="17"/>
      <c r="K91" s="17"/>
      <c r="R91" s="17"/>
    </row>
    <row r="92" spans="1:19" x14ac:dyDescent="0.25">
      <c r="B92" s="50"/>
      <c r="C92" s="17"/>
      <c r="D92" s="17"/>
      <c r="H92" s="10"/>
      <c r="I92" s="17"/>
      <c r="J92" s="17"/>
      <c r="K92" s="17"/>
      <c r="R92" s="17"/>
    </row>
    <row r="93" spans="1:19" x14ac:dyDescent="0.25">
      <c r="C93" s="17"/>
      <c r="D93" s="17"/>
      <c r="H93" s="10"/>
      <c r="I93" s="17"/>
      <c r="J93" s="17"/>
      <c r="K93" s="17"/>
      <c r="R93" s="17"/>
    </row>
    <row r="94" spans="1:19" x14ac:dyDescent="0.25">
      <c r="C94" s="17"/>
      <c r="D94" s="17"/>
      <c r="H94" s="10"/>
      <c r="I94" s="17"/>
      <c r="J94" s="17"/>
      <c r="K94" s="17"/>
      <c r="R94" s="17"/>
    </row>
    <row r="95" spans="1:19" x14ac:dyDescent="0.25">
      <c r="C95" s="17"/>
      <c r="D95" s="17"/>
      <c r="H95" s="10"/>
      <c r="I95" s="17"/>
      <c r="J95" s="17"/>
      <c r="K95" s="17"/>
      <c r="R95" s="17"/>
    </row>
    <row r="96" spans="1:19" x14ac:dyDescent="0.25">
      <c r="C96" s="17"/>
      <c r="D96" s="17"/>
      <c r="H96" s="10"/>
      <c r="I96" s="17"/>
      <c r="J96" s="17"/>
      <c r="K96" s="17"/>
      <c r="R96" s="17"/>
    </row>
    <row r="97" spans="3:18" x14ac:dyDescent="0.25">
      <c r="C97" s="17"/>
      <c r="D97" s="17"/>
      <c r="H97" s="10"/>
      <c r="I97" s="17"/>
      <c r="J97" s="17"/>
      <c r="K97" s="17"/>
      <c r="R97" s="17"/>
    </row>
    <row r="98" spans="3:18" x14ac:dyDescent="0.25">
      <c r="C98" s="17"/>
      <c r="D98" s="17"/>
      <c r="H98" s="10"/>
      <c r="I98" s="17"/>
      <c r="J98" s="17"/>
      <c r="K98" s="17"/>
    </row>
    <row r="99" spans="3:18" x14ac:dyDescent="0.25">
      <c r="C99" s="17"/>
      <c r="D99" s="17"/>
      <c r="H99" s="10"/>
      <c r="I99" s="17"/>
      <c r="J99" s="17"/>
      <c r="K99" s="17"/>
    </row>
    <row r="100" spans="3:18" x14ac:dyDescent="0.25">
      <c r="C100" s="17"/>
      <c r="D100" s="17"/>
      <c r="H100" s="10"/>
      <c r="I100" s="17"/>
      <c r="J100" s="17"/>
      <c r="K100" s="17"/>
    </row>
    <row r="101" spans="3:18" x14ac:dyDescent="0.25">
      <c r="C101" s="17"/>
      <c r="D101" s="17"/>
      <c r="H101" s="10"/>
      <c r="I101" s="17"/>
      <c r="J101" s="17"/>
      <c r="K101" s="17"/>
    </row>
    <row r="102" spans="3:18" x14ac:dyDescent="0.25">
      <c r="C102" s="17"/>
      <c r="D102" s="17"/>
      <c r="H102" s="10"/>
      <c r="I102" s="17"/>
      <c r="J102" s="17"/>
      <c r="K102" s="17"/>
    </row>
    <row r="103" spans="3:18" x14ac:dyDescent="0.25">
      <c r="C103" s="17"/>
      <c r="D103" s="17"/>
      <c r="H103" s="10"/>
      <c r="I103" s="17"/>
      <c r="J103" s="17"/>
      <c r="K103" s="17"/>
    </row>
    <row r="104" spans="3:18" x14ac:dyDescent="0.25">
      <c r="C104" s="17"/>
      <c r="D104" s="17"/>
      <c r="H104" s="10"/>
      <c r="I104" s="17"/>
      <c r="J104" s="17"/>
      <c r="K104" s="17"/>
    </row>
    <row r="105" spans="3:18" x14ac:dyDescent="0.25">
      <c r="C105" s="17"/>
      <c r="D105" s="17"/>
      <c r="H105" s="10"/>
      <c r="I105" s="17"/>
      <c r="J105" s="17"/>
      <c r="K105" s="17"/>
    </row>
    <row r="106" spans="3:18" x14ac:dyDescent="0.25">
      <c r="C106" s="17"/>
      <c r="D106" s="17"/>
      <c r="H106" s="10"/>
      <c r="I106" s="17"/>
      <c r="J106" s="17"/>
      <c r="K106" s="17"/>
    </row>
    <row r="107" spans="3:18" x14ac:dyDescent="0.25">
      <c r="C107" s="17"/>
      <c r="D107" s="17"/>
      <c r="H107" s="10"/>
      <c r="I107" s="17"/>
      <c r="J107" s="17"/>
      <c r="K107" s="17"/>
    </row>
    <row r="108" spans="3:18" x14ac:dyDescent="0.25">
      <c r="C108" s="17"/>
      <c r="D108" s="17"/>
      <c r="H108" s="10"/>
      <c r="I108" s="17"/>
      <c r="J108" s="17"/>
      <c r="K108" s="17"/>
    </row>
    <row r="109" spans="3:18" x14ac:dyDescent="0.25">
      <c r="C109" s="17"/>
      <c r="D109" s="17"/>
      <c r="H109" s="10"/>
      <c r="I109" s="17"/>
      <c r="J109" s="17"/>
      <c r="K109" s="17"/>
    </row>
    <row r="110" spans="3:18" x14ac:dyDescent="0.25">
      <c r="C110" s="17"/>
      <c r="D110" s="17"/>
      <c r="H110" s="10"/>
      <c r="I110" s="17"/>
      <c r="J110" s="17"/>
      <c r="K110" s="17"/>
    </row>
    <row r="111" spans="3:18" x14ac:dyDescent="0.25">
      <c r="C111" s="17"/>
      <c r="D111" s="17"/>
      <c r="H111" s="10"/>
      <c r="I111" s="17"/>
      <c r="J111" s="17"/>
      <c r="K111" s="17"/>
    </row>
    <row r="112" spans="3:18" x14ac:dyDescent="0.25">
      <c r="C112" s="17"/>
      <c r="D112" s="17"/>
      <c r="H112" s="10"/>
      <c r="I112" s="17"/>
      <c r="J112" s="17"/>
      <c r="K112" s="17"/>
    </row>
    <row r="113" spans="3:11" x14ac:dyDescent="0.25">
      <c r="C113" s="17"/>
      <c r="D113" s="17"/>
      <c r="H113" s="10"/>
      <c r="I113" s="17"/>
      <c r="J113" s="17"/>
      <c r="K113" s="17"/>
    </row>
    <row r="114" spans="3:11" x14ac:dyDescent="0.25">
      <c r="C114" s="17"/>
      <c r="D114" s="17"/>
      <c r="H114" s="10"/>
      <c r="I114" s="17"/>
      <c r="J114" s="17"/>
      <c r="K114" s="17"/>
    </row>
    <row r="115" spans="3:11" x14ac:dyDescent="0.25">
      <c r="C115" s="17"/>
      <c r="D115" s="17"/>
      <c r="H115" s="10"/>
      <c r="I115" s="17"/>
      <c r="J115" s="17"/>
      <c r="K115" s="17"/>
    </row>
    <row r="116" spans="3:11" x14ac:dyDescent="0.25">
      <c r="C116" s="17"/>
      <c r="D116" s="17"/>
      <c r="H116" s="10"/>
      <c r="I116" s="17"/>
      <c r="J116" s="17"/>
      <c r="K116" s="17"/>
    </row>
    <row r="117" spans="3:11" x14ac:dyDescent="0.25">
      <c r="C117" s="17"/>
      <c r="D117" s="17"/>
      <c r="H117" s="10"/>
      <c r="I117" s="17"/>
      <c r="J117" s="17"/>
      <c r="K117" s="17"/>
    </row>
    <row r="118" spans="3:11" x14ac:dyDescent="0.25">
      <c r="C118" s="17"/>
      <c r="D118" s="17"/>
      <c r="H118" s="10"/>
      <c r="I118" s="17"/>
      <c r="J118" s="17"/>
      <c r="K118" s="17"/>
    </row>
    <row r="119" spans="3:11" x14ac:dyDescent="0.25">
      <c r="C119" s="17"/>
      <c r="D119" s="17"/>
      <c r="H119" s="10"/>
      <c r="I119" s="17"/>
      <c r="J119" s="17"/>
      <c r="K119" s="17"/>
    </row>
    <row r="120" spans="3:11" x14ac:dyDescent="0.25">
      <c r="C120" s="17"/>
      <c r="D120" s="17"/>
      <c r="H120" s="10"/>
      <c r="I120" s="17"/>
      <c r="J120" s="17"/>
      <c r="K120" s="17"/>
    </row>
    <row r="121" spans="3:11" x14ac:dyDescent="0.25">
      <c r="C121" s="17"/>
      <c r="D121" s="17"/>
      <c r="H121" s="10"/>
      <c r="I121" s="17"/>
      <c r="J121" s="17"/>
      <c r="K121" s="17"/>
    </row>
    <row r="122" spans="3:11" x14ac:dyDescent="0.25">
      <c r="C122" s="17"/>
      <c r="D122" s="17"/>
      <c r="H122" s="10"/>
      <c r="I122" s="17"/>
      <c r="J122" s="17"/>
      <c r="K122" s="17"/>
    </row>
    <row r="123" spans="3:11" x14ac:dyDescent="0.25">
      <c r="C123" s="17"/>
      <c r="D123" s="17"/>
      <c r="H123" s="10"/>
      <c r="I123" s="17"/>
      <c r="J123" s="17"/>
      <c r="K123" s="17"/>
    </row>
    <row r="124" spans="3:11" x14ac:dyDescent="0.25">
      <c r="C124" s="17"/>
      <c r="D124" s="17"/>
      <c r="H124" s="10"/>
      <c r="I124" s="17"/>
      <c r="J124" s="17"/>
      <c r="K124" s="17"/>
    </row>
    <row r="125" spans="3:11" x14ac:dyDescent="0.25">
      <c r="C125" s="17"/>
      <c r="D125" s="17"/>
      <c r="H125" s="10"/>
      <c r="I125" s="17"/>
      <c r="J125" s="17"/>
      <c r="K125" s="17"/>
    </row>
    <row r="126" spans="3:11" x14ac:dyDescent="0.25">
      <c r="C126" s="17"/>
      <c r="D126" s="17"/>
      <c r="H126" s="10"/>
      <c r="I126" s="17"/>
      <c r="J126" s="17"/>
      <c r="K126" s="17"/>
    </row>
    <row r="127" spans="3:11" x14ac:dyDescent="0.25">
      <c r="C127" s="17"/>
      <c r="D127" s="17"/>
      <c r="H127" s="10"/>
      <c r="I127" s="17"/>
      <c r="J127" s="17"/>
      <c r="K127" s="17"/>
    </row>
    <row r="128" spans="3:11" x14ac:dyDescent="0.25">
      <c r="C128" s="17"/>
      <c r="D128" s="17"/>
      <c r="H128" s="10"/>
      <c r="I128" s="17"/>
      <c r="J128" s="17"/>
      <c r="K128" s="17"/>
    </row>
    <row r="129" spans="3:11" x14ac:dyDescent="0.25">
      <c r="C129" s="17"/>
      <c r="D129" s="17"/>
      <c r="H129" s="10"/>
      <c r="I129" s="17"/>
      <c r="J129" s="17"/>
      <c r="K129" s="17"/>
    </row>
    <row r="130" spans="3:11" x14ac:dyDescent="0.25">
      <c r="C130" s="17"/>
      <c r="D130" s="17"/>
      <c r="H130" s="10"/>
      <c r="I130" s="17"/>
      <c r="J130" s="17"/>
      <c r="K130" s="17"/>
    </row>
    <row r="131" spans="3:11" x14ac:dyDescent="0.25">
      <c r="C131" s="17"/>
      <c r="D131" s="17"/>
      <c r="H131" s="10"/>
      <c r="I131" s="17"/>
      <c r="J131" s="17"/>
      <c r="K131" s="17"/>
    </row>
    <row r="132" spans="3:11" x14ac:dyDescent="0.25">
      <c r="C132" s="17"/>
      <c r="D132" s="17"/>
      <c r="H132" s="10"/>
      <c r="I132" s="17"/>
      <c r="J132" s="17"/>
      <c r="K132" s="17"/>
    </row>
    <row r="133" spans="3:11" x14ac:dyDescent="0.25">
      <c r="C133" s="17"/>
      <c r="D133" s="17"/>
      <c r="H133" s="10"/>
      <c r="I133" s="17"/>
      <c r="J133" s="17"/>
      <c r="K133" s="17"/>
    </row>
    <row r="134" spans="3:11" x14ac:dyDescent="0.25">
      <c r="C134" s="17"/>
      <c r="D134" s="17"/>
      <c r="H134" s="10"/>
      <c r="I134" s="17"/>
      <c r="J134" s="17"/>
      <c r="K134" s="17"/>
    </row>
    <row r="135" spans="3:11" x14ac:dyDescent="0.25">
      <c r="C135" s="17"/>
      <c r="D135" s="17"/>
      <c r="H135" s="10"/>
      <c r="I135" s="17"/>
      <c r="J135" s="17"/>
      <c r="K135" s="17"/>
    </row>
    <row r="136" spans="3:11" x14ac:dyDescent="0.25">
      <c r="C136" s="17"/>
      <c r="D136" s="17"/>
      <c r="H136" s="10"/>
      <c r="I136" s="17"/>
      <c r="J136" s="17"/>
      <c r="K136" s="17"/>
    </row>
    <row r="137" spans="3:11" x14ac:dyDescent="0.25">
      <c r="C137" s="17"/>
      <c r="D137" s="17"/>
      <c r="H137" s="10"/>
      <c r="I137" s="17"/>
      <c r="J137" s="17"/>
      <c r="K137" s="17"/>
    </row>
    <row r="138" spans="3:11" x14ac:dyDescent="0.25">
      <c r="C138" s="17"/>
      <c r="D138" s="17"/>
      <c r="H138" s="10"/>
      <c r="I138" s="17"/>
      <c r="J138" s="17"/>
      <c r="K138" s="17"/>
    </row>
    <row r="139" spans="3:11" x14ac:dyDescent="0.25">
      <c r="C139" s="17"/>
      <c r="D139" s="17"/>
      <c r="H139" s="10"/>
      <c r="I139" s="17"/>
      <c r="J139" s="17"/>
      <c r="K139" s="17"/>
    </row>
    <row r="140" spans="3:11" x14ac:dyDescent="0.25">
      <c r="C140" s="17"/>
      <c r="D140" s="17"/>
      <c r="H140" s="10"/>
      <c r="I140" s="17"/>
      <c r="J140" s="17"/>
      <c r="K140" s="17"/>
    </row>
    <row r="141" spans="3:11" x14ac:dyDescent="0.25">
      <c r="C141" s="17"/>
      <c r="D141" s="17"/>
      <c r="H141" s="10"/>
      <c r="I141" s="17"/>
      <c r="J141" s="17"/>
      <c r="K141" s="17"/>
    </row>
    <row r="142" spans="3:11" x14ac:dyDescent="0.25">
      <c r="C142" s="17"/>
      <c r="D142" s="17"/>
      <c r="H142" s="10"/>
      <c r="I142" s="17"/>
      <c r="J142" s="17"/>
      <c r="K142" s="17"/>
    </row>
    <row r="143" spans="3:11" x14ac:dyDescent="0.25">
      <c r="C143" s="17"/>
      <c r="D143" s="17"/>
      <c r="H143" s="10"/>
      <c r="I143" s="17"/>
      <c r="J143" s="17"/>
      <c r="K143" s="17"/>
    </row>
    <row r="144" spans="3:11" x14ac:dyDescent="0.25">
      <c r="C144" s="17"/>
      <c r="D144" s="17"/>
      <c r="H144" s="10"/>
      <c r="I144" s="17"/>
      <c r="J144" s="17"/>
      <c r="K144" s="17"/>
    </row>
    <row r="145" spans="3:11" x14ac:dyDescent="0.25">
      <c r="C145" s="17"/>
      <c r="D145" s="17"/>
      <c r="H145" s="10"/>
      <c r="I145" s="17"/>
      <c r="J145" s="17"/>
      <c r="K145" s="17"/>
    </row>
    <row r="146" spans="3:11" x14ac:dyDescent="0.25">
      <c r="C146" s="17"/>
      <c r="D146" s="17"/>
      <c r="H146" s="10"/>
      <c r="I146" s="17"/>
      <c r="J146" s="17"/>
      <c r="K146" s="17"/>
    </row>
    <row r="147" spans="3:11" x14ac:dyDescent="0.25">
      <c r="C147" s="17"/>
      <c r="D147" s="17"/>
      <c r="H147" s="10"/>
      <c r="I147" s="17"/>
      <c r="J147" s="17"/>
      <c r="K147" s="17"/>
    </row>
    <row r="148" spans="3:11" x14ac:dyDescent="0.25">
      <c r="C148" s="17"/>
      <c r="D148" s="17"/>
      <c r="H148" s="10"/>
      <c r="I148" s="17"/>
      <c r="J148" s="17"/>
      <c r="K148" s="17"/>
    </row>
    <row r="149" spans="3:11" x14ac:dyDescent="0.25">
      <c r="C149" s="17"/>
      <c r="D149" s="17"/>
      <c r="H149" s="10"/>
      <c r="I149" s="17"/>
      <c r="J149" s="17"/>
      <c r="K149" s="17"/>
    </row>
    <row r="150" spans="3:11" x14ac:dyDescent="0.25">
      <c r="C150" s="17"/>
      <c r="D150" s="17"/>
      <c r="H150" s="10"/>
      <c r="I150" s="17"/>
      <c r="J150" s="17"/>
      <c r="K150" s="17"/>
    </row>
    <row r="151" spans="3:11" x14ac:dyDescent="0.25">
      <c r="C151" s="17"/>
      <c r="D151" s="17"/>
      <c r="H151" s="10"/>
      <c r="I151" s="17"/>
      <c r="J151" s="17"/>
      <c r="K151" s="17"/>
    </row>
    <row r="152" spans="3:11" x14ac:dyDescent="0.25">
      <c r="C152" s="17"/>
      <c r="D152" s="17"/>
      <c r="H152" s="10"/>
      <c r="I152" s="17"/>
      <c r="J152" s="17"/>
      <c r="K152" s="17"/>
    </row>
    <row r="153" spans="3:11" x14ac:dyDescent="0.25">
      <c r="C153" s="17"/>
      <c r="D153" s="17"/>
      <c r="I153" s="17"/>
      <c r="J153" s="17"/>
      <c r="K153" s="17"/>
    </row>
    <row r="154" spans="3:11" x14ac:dyDescent="0.25">
      <c r="C154" s="17"/>
      <c r="D154" s="17"/>
      <c r="I154" s="17"/>
      <c r="J154" s="17"/>
      <c r="K154" s="17"/>
    </row>
    <row r="155" spans="3:11" x14ac:dyDescent="0.25">
      <c r="C155" s="17"/>
      <c r="D155" s="17"/>
      <c r="I155" s="17"/>
      <c r="J155" s="17"/>
      <c r="K155" s="17"/>
    </row>
    <row r="156" spans="3:11" x14ac:dyDescent="0.25">
      <c r="C156" s="17"/>
      <c r="D156" s="17"/>
      <c r="I156" s="17"/>
      <c r="J156" s="17"/>
      <c r="K156" s="17"/>
    </row>
    <row r="157" spans="3:11" x14ac:dyDescent="0.25">
      <c r="C157" s="17"/>
      <c r="D157" s="17"/>
      <c r="I157" s="17"/>
      <c r="J157" s="17"/>
      <c r="K157" s="17"/>
    </row>
    <row r="158" spans="3:11" x14ac:dyDescent="0.25">
      <c r="C158" s="17"/>
      <c r="D158" s="17"/>
      <c r="I158" s="17"/>
      <c r="J158" s="17"/>
      <c r="K158" s="17"/>
    </row>
    <row r="159" spans="3:11" x14ac:dyDescent="0.25">
      <c r="C159" s="17"/>
      <c r="D159" s="17"/>
      <c r="I159" s="17"/>
      <c r="J159" s="17"/>
      <c r="K159" s="17"/>
    </row>
    <row r="160" spans="3:11" x14ac:dyDescent="0.25">
      <c r="C160" s="17"/>
      <c r="D160" s="17"/>
      <c r="I160" s="17"/>
      <c r="J160" s="17"/>
      <c r="K160" s="17"/>
    </row>
    <row r="161" spans="3:11" x14ac:dyDescent="0.25">
      <c r="C161" s="17"/>
      <c r="D161" s="17"/>
      <c r="I161" s="17"/>
      <c r="J161" s="17"/>
      <c r="K161" s="17"/>
    </row>
    <row r="162" spans="3:11" x14ac:dyDescent="0.25">
      <c r="C162" s="17"/>
      <c r="D162" s="17"/>
      <c r="I162" s="17"/>
      <c r="J162" s="17"/>
      <c r="K162" s="17"/>
    </row>
    <row r="163" spans="3:11" x14ac:dyDescent="0.25">
      <c r="C163" s="17"/>
      <c r="D163" s="17"/>
      <c r="I163" s="17"/>
      <c r="J163" s="17"/>
      <c r="K163" s="17"/>
    </row>
    <row r="164" spans="3:11" x14ac:dyDescent="0.25">
      <c r="C164" s="17"/>
      <c r="D164" s="17"/>
      <c r="I164" s="17"/>
      <c r="J164" s="17"/>
      <c r="K164" s="17"/>
    </row>
    <row r="165" spans="3:11" x14ac:dyDescent="0.25">
      <c r="C165" s="17"/>
      <c r="D165" s="17"/>
      <c r="I165" s="17"/>
      <c r="J165" s="17"/>
      <c r="K165" s="17"/>
    </row>
    <row r="166" spans="3:11" x14ac:dyDescent="0.25">
      <c r="C166" s="17"/>
      <c r="D166" s="17"/>
      <c r="I166" s="17"/>
      <c r="J166" s="17"/>
      <c r="K166" s="17"/>
    </row>
    <row r="167" spans="3:11" x14ac:dyDescent="0.25">
      <c r="C167" s="17"/>
      <c r="D167" s="17"/>
      <c r="I167" s="17"/>
      <c r="J167" s="17"/>
      <c r="K167" s="17"/>
    </row>
    <row r="168" spans="3:11" x14ac:dyDescent="0.25">
      <c r="C168" s="17"/>
      <c r="D168" s="17"/>
      <c r="I168" s="17"/>
      <c r="J168" s="17"/>
      <c r="K168" s="17"/>
    </row>
    <row r="169" spans="3:11" x14ac:dyDescent="0.25">
      <c r="I169" s="17"/>
      <c r="J169" s="17"/>
      <c r="K169" s="17"/>
    </row>
    <row r="170" spans="3:11" x14ac:dyDescent="0.25">
      <c r="I170" s="17"/>
      <c r="J170" s="17"/>
      <c r="K170" s="17"/>
    </row>
    <row r="171" spans="3:11" x14ac:dyDescent="0.25">
      <c r="I171" s="17"/>
      <c r="J171" s="17"/>
      <c r="K171" s="17"/>
    </row>
    <row r="172" spans="3:11" x14ac:dyDescent="0.25">
      <c r="I172" s="17"/>
      <c r="J172" s="17"/>
      <c r="K172" s="17"/>
    </row>
    <row r="173" spans="3:11" x14ac:dyDescent="0.25">
      <c r="I173" s="17"/>
      <c r="J173" s="17"/>
      <c r="K173" s="17"/>
    </row>
    <row r="174" spans="3:11" x14ac:dyDescent="0.25">
      <c r="I174" s="17"/>
      <c r="J174" s="17"/>
      <c r="K174" s="17"/>
    </row>
    <row r="175" spans="3:11" x14ac:dyDescent="0.25">
      <c r="I175" s="17"/>
      <c r="J175" s="17"/>
      <c r="K175" s="17"/>
    </row>
    <row r="176" spans="3:11" x14ac:dyDescent="0.25">
      <c r="I176" s="17"/>
      <c r="J176" s="17"/>
      <c r="K176" s="17"/>
    </row>
    <row r="177" spans="9:11" x14ac:dyDescent="0.25">
      <c r="I177" s="17"/>
      <c r="J177" s="17"/>
      <c r="K177" s="17"/>
    </row>
    <row r="178" spans="9:11" x14ac:dyDescent="0.25">
      <c r="I178" s="17"/>
      <c r="J178" s="17"/>
      <c r="K178" s="17"/>
    </row>
    <row r="179" spans="9:11" x14ac:dyDescent="0.25">
      <c r="I179" s="17"/>
      <c r="J179" s="17"/>
      <c r="K179" s="17"/>
    </row>
    <row r="180" spans="9:11" x14ac:dyDescent="0.25">
      <c r="I180" s="17"/>
      <c r="J180" s="17"/>
      <c r="K180" s="17"/>
    </row>
    <row r="181" spans="9:11" x14ac:dyDescent="0.25">
      <c r="I181" s="17"/>
      <c r="J181" s="17"/>
      <c r="K181" s="17"/>
    </row>
    <row r="182" spans="9:11" x14ac:dyDescent="0.25">
      <c r="I182" s="17"/>
      <c r="J182" s="17"/>
      <c r="K182" s="17"/>
    </row>
    <row r="183" spans="9:11" x14ac:dyDescent="0.25">
      <c r="I183" s="17"/>
      <c r="J183" s="17"/>
      <c r="K183" s="17"/>
    </row>
  </sheetData>
  <mergeCells count="6">
    <mergeCell ref="M84:N84"/>
    <mergeCell ref="E8:K8"/>
    <mergeCell ref="M8:S8"/>
    <mergeCell ref="E61:K61"/>
    <mergeCell ref="M61:S61"/>
    <mergeCell ref="M71:N71"/>
  </mergeCells>
  <printOptions horizontalCentered="1"/>
  <pageMargins left="0.7" right="0.7" top="0.75" bottom="0.75" header="0.3" footer="0.3"/>
  <pageSetup scale="35" fitToWidth="2" fitToHeight="2" pageOrder="overThenDown" orientation="portrait" r:id="rId1"/>
  <headerFooter alignWithMargins="0"/>
  <rowBreaks count="1" manualBreakCount="1">
    <brk id="53" max="16383" man="1"/>
  </rowBreaks>
  <colBreaks count="1" manualBreakCount="1">
    <brk id="12" max="9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81"/>
  <sheetViews>
    <sheetView view="pageBreakPreview" zoomScale="70" zoomScaleNormal="70" zoomScaleSheetLayoutView="70" workbookViewId="0">
      <pane xSplit="4" ySplit="8" topLeftCell="E9" activePane="bottomRight" state="frozen"/>
      <selection pane="topRight"/>
      <selection pane="bottomLeft"/>
      <selection pane="bottomRight" activeCell="H99" sqref="H99"/>
    </sheetView>
  </sheetViews>
  <sheetFormatPr defaultColWidth="12.81640625" defaultRowHeight="15" x14ac:dyDescent="0.25"/>
  <cols>
    <col min="1" max="1" width="10.81640625" style="8" customWidth="1"/>
    <col min="2" max="2" width="32.81640625" style="8" customWidth="1"/>
    <col min="3" max="3" width="12.81640625" style="8"/>
    <col min="4" max="4" width="20.08984375" style="8" customWidth="1"/>
    <col min="5" max="5" width="4.81640625" style="8" customWidth="1"/>
    <col min="6" max="6" width="6.81640625" style="8" customWidth="1"/>
    <col min="7" max="7" width="8.81640625" style="8" customWidth="1"/>
    <col min="8" max="8" width="10.54296875" style="8" customWidth="1"/>
    <col min="9" max="9" width="13" style="8" customWidth="1"/>
    <col min="10" max="10" width="12.6328125" style="8" bestFit="1" customWidth="1"/>
    <col min="11" max="11" width="12.81640625" style="8"/>
    <col min="12" max="12" width="5.453125" style="8" customWidth="1"/>
    <col min="13" max="13" width="1.6328125" style="8" bestFit="1" customWidth="1"/>
    <col min="14" max="14" width="8.36328125" style="8" customWidth="1"/>
    <col min="15" max="15" width="9.90625" style="8" customWidth="1"/>
    <col min="16" max="16" width="8.6328125" style="8" customWidth="1"/>
    <col min="17" max="17" width="11" style="8" customWidth="1"/>
    <col min="18" max="16384" width="12.81640625" style="8"/>
  </cols>
  <sheetData>
    <row r="1" spans="1:21" x14ac:dyDescent="0.25">
      <c r="L1" s="19" t="s">
        <v>304</v>
      </c>
      <c r="U1" s="19" t="s">
        <v>304</v>
      </c>
    </row>
    <row r="2" spans="1:21" x14ac:dyDescent="0.25">
      <c r="L2" s="19" t="s">
        <v>144</v>
      </c>
      <c r="U2" s="19" t="s">
        <v>144</v>
      </c>
    </row>
    <row r="3" spans="1:21" x14ac:dyDescent="0.25">
      <c r="L3" s="19" t="s">
        <v>310</v>
      </c>
      <c r="U3" s="19" t="s">
        <v>311</v>
      </c>
    </row>
    <row r="4" spans="1:21" ht="15.6" x14ac:dyDescent="0.3">
      <c r="A4" s="55" t="s">
        <v>0</v>
      </c>
      <c r="B4" s="55"/>
      <c r="C4" s="55"/>
      <c r="D4" s="55"/>
      <c r="E4" s="55"/>
      <c r="F4" s="55"/>
      <c r="G4" s="55"/>
      <c r="H4" s="55"/>
      <c r="I4" s="4"/>
      <c r="J4" s="4"/>
      <c r="K4" s="4"/>
      <c r="R4" s="17"/>
    </row>
    <row r="5" spans="1:21" ht="15.6" x14ac:dyDescent="0.3">
      <c r="A5" s="55" t="s">
        <v>299</v>
      </c>
      <c r="B5" s="55"/>
      <c r="C5" s="55"/>
      <c r="D5" s="55"/>
      <c r="E5" s="55"/>
      <c r="F5" s="55"/>
      <c r="G5" s="55"/>
      <c r="H5" s="55"/>
      <c r="I5" s="4"/>
      <c r="J5" s="4"/>
      <c r="K5" s="4"/>
      <c r="L5" s="16"/>
      <c r="M5" s="16"/>
    </row>
    <row r="6" spans="1:21" ht="15.6" x14ac:dyDescent="0.3">
      <c r="A6" s="55" t="s">
        <v>145</v>
      </c>
      <c r="B6" s="55"/>
      <c r="C6" s="55"/>
      <c r="D6" s="55"/>
      <c r="E6" s="55"/>
      <c r="F6" s="55"/>
      <c r="G6" s="55"/>
      <c r="H6" s="55"/>
      <c r="I6" s="4"/>
      <c r="J6" s="4"/>
      <c r="K6" s="4"/>
      <c r="L6" s="16"/>
      <c r="M6" s="16"/>
    </row>
    <row r="7" spans="1:21" x14ac:dyDescent="0.25">
      <c r="S7" s="17"/>
      <c r="T7" s="17"/>
    </row>
    <row r="8" spans="1:21" ht="16.2" thickBot="1" x14ac:dyDescent="0.35">
      <c r="E8" s="63" t="s">
        <v>293</v>
      </c>
      <c r="F8" s="63"/>
      <c r="G8" s="63"/>
      <c r="H8" s="63"/>
      <c r="I8" s="63"/>
      <c r="J8" s="63"/>
      <c r="K8" s="63"/>
      <c r="N8" s="63" t="s">
        <v>307</v>
      </c>
      <c r="O8" s="63"/>
      <c r="P8" s="63"/>
      <c r="Q8" s="63"/>
      <c r="R8" s="63"/>
      <c r="S8" s="63"/>
      <c r="T8" s="63"/>
    </row>
    <row r="9" spans="1:21" x14ac:dyDescent="0.25">
      <c r="D9" s="18">
        <v>43830</v>
      </c>
    </row>
    <row r="10" spans="1:21" x14ac:dyDescent="0.25">
      <c r="D10" s="9" t="s">
        <v>2</v>
      </c>
      <c r="K10" s="9" t="s">
        <v>3</v>
      </c>
      <c r="T10" s="9" t="s">
        <v>3</v>
      </c>
    </row>
    <row r="11" spans="1:21" x14ac:dyDescent="0.25">
      <c r="C11" s="9" t="s">
        <v>4</v>
      </c>
      <c r="D11" s="9" t="s">
        <v>5</v>
      </c>
      <c r="F11" s="9" t="s">
        <v>29</v>
      </c>
      <c r="G11" s="9" t="s">
        <v>30</v>
      </c>
      <c r="H11" s="9" t="s">
        <v>31</v>
      </c>
      <c r="I11" s="9" t="s">
        <v>6</v>
      </c>
      <c r="J11" s="9" t="s">
        <v>7</v>
      </c>
      <c r="K11" s="9" t="s">
        <v>8</v>
      </c>
      <c r="O11" s="9" t="s">
        <v>29</v>
      </c>
      <c r="P11" s="9" t="s">
        <v>30</v>
      </c>
      <c r="Q11" s="9" t="s">
        <v>31</v>
      </c>
      <c r="R11" s="9" t="s">
        <v>6</v>
      </c>
      <c r="S11" s="9" t="s">
        <v>7</v>
      </c>
      <c r="T11" s="9" t="s">
        <v>8</v>
      </c>
    </row>
    <row r="12" spans="1:21" x14ac:dyDescent="0.25">
      <c r="A12" s="6" t="s">
        <v>33</v>
      </c>
      <c r="B12" s="6" t="s">
        <v>34</v>
      </c>
      <c r="C12" s="6" t="s">
        <v>294</v>
      </c>
      <c r="D12" s="6" t="s">
        <v>9</v>
      </c>
      <c r="E12" s="6" t="s">
        <v>35</v>
      </c>
      <c r="F12" s="6" t="s">
        <v>36</v>
      </c>
      <c r="G12" s="6" t="s">
        <v>37</v>
      </c>
      <c r="H12" s="6" t="s">
        <v>41</v>
      </c>
      <c r="I12" s="6" t="s">
        <v>10</v>
      </c>
      <c r="J12" s="6" t="s">
        <v>11</v>
      </c>
      <c r="K12" s="6" t="s">
        <v>11</v>
      </c>
      <c r="L12" s="7"/>
      <c r="N12" s="6" t="s">
        <v>35</v>
      </c>
      <c r="O12" s="6" t="s">
        <v>36</v>
      </c>
      <c r="P12" s="6" t="s">
        <v>37</v>
      </c>
      <c r="Q12" s="6" t="s">
        <v>41</v>
      </c>
      <c r="R12" s="6" t="s">
        <v>10</v>
      </c>
      <c r="S12" s="6" t="s">
        <v>11</v>
      </c>
      <c r="T12" s="6" t="s">
        <v>11</v>
      </c>
      <c r="U12" s="7"/>
    </row>
    <row r="13" spans="1:21" x14ac:dyDescent="0.25">
      <c r="S13" s="17"/>
      <c r="T13" s="17"/>
    </row>
    <row r="14" spans="1:21" x14ac:dyDescent="0.25">
      <c r="A14" s="9" t="s">
        <v>146</v>
      </c>
      <c r="B14" s="8" t="s">
        <v>196</v>
      </c>
      <c r="C14" s="17">
        <v>81128584.400000006</v>
      </c>
      <c r="D14" s="17">
        <v>23450683</v>
      </c>
      <c r="E14" s="8">
        <v>50</v>
      </c>
      <c r="F14" s="9" t="s">
        <v>103</v>
      </c>
      <c r="G14" s="8">
        <v>-55</v>
      </c>
      <c r="H14" s="12">
        <v>3.1E-2</v>
      </c>
      <c r="I14" s="17">
        <f>ROUND((C14*H14),0)</f>
        <v>2514986</v>
      </c>
      <c r="J14" s="17">
        <f>12365723.77+731217.19+4702343.92+1874699.68</f>
        <v>19673984.559999999</v>
      </c>
      <c r="K14" s="17">
        <f>D14-J14</f>
        <v>3776698.4400000013</v>
      </c>
      <c r="N14" s="8">
        <v>55</v>
      </c>
      <c r="O14" s="9" t="s">
        <v>253</v>
      </c>
      <c r="P14" s="8">
        <v>-50</v>
      </c>
      <c r="Q14" s="12">
        <v>2.7298331175137535E-2</v>
      </c>
      <c r="R14" s="17">
        <f>C14*Q14</f>
        <v>2214674.9647212969</v>
      </c>
      <c r="S14" s="17">
        <v>23627845</v>
      </c>
      <c r="T14" s="17">
        <f>D14-S14</f>
        <v>-177162</v>
      </c>
    </row>
    <row r="15" spans="1:21" x14ac:dyDescent="0.25">
      <c r="C15" s="17"/>
      <c r="D15" s="17"/>
      <c r="H15" s="12"/>
      <c r="I15" s="17"/>
      <c r="J15" s="17"/>
      <c r="K15" s="17"/>
      <c r="Q15" s="10"/>
      <c r="R15" s="17"/>
      <c r="S15" s="17"/>
      <c r="T15" s="17"/>
    </row>
    <row r="16" spans="1:21" x14ac:dyDescent="0.25">
      <c r="A16" s="9" t="s">
        <v>147</v>
      </c>
      <c r="B16" s="8" t="s">
        <v>148</v>
      </c>
      <c r="C16" s="17">
        <v>11657424.560000001</v>
      </c>
      <c r="D16" s="17">
        <v>5180717</v>
      </c>
      <c r="E16" s="8">
        <v>10</v>
      </c>
      <c r="F16" s="9" t="s">
        <v>150</v>
      </c>
      <c r="G16" s="19" t="s">
        <v>76</v>
      </c>
      <c r="H16" s="12">
        <v>0.09</v>
      </c>
      <c r="I16" s="17">
        <f>ROUND((C16*H16),0)</f>
        <v>1049168</v>
      </c>
      <c r="J16" s="17">
        <f>482104.17+595532.63+2006369.17+85351.22+795667.45</f>
        <v>3965024.6399999997</v>
      </c>
      <c r="K16" s="17">
        <f>D16-J16</f>
        <v>1215692.3600000003</v>
      </c>
      <c r="N16" s="8">
        <v>11</v>
      </c>
      <c r="O16" s="9" t="s">
        <v>150</v>
      </c>
      <c r="P16" s="19" t="s">
        <v>76</v>
      </c>
      <c r="Q16" s="12">
        <v>8.1091260663554321E-2</v>
      </c>
      <c r="R16" s="17">
        <f>C16*Q16</f>
        <v>945315.25366068003</v>
      </c>
      <c r="S16" s="17">
        <v>3727113</v>
      </c>
      <c r="T16" s="17">
        <f>D16-S16</f>
        <v>1453604</v>
      </c>
    </row>
    <row r="17" spans="1:20" x14ac:dyDescent="0.25">
      <c r="A17" s="9" t="s">
        <v>151</v>
      </c>
      <c r="B17" s="8" t="s">
        <v>152</v>
      </c>
      <c r="C17" s="17">
        <v>4980147.46</v>
      </c>
      <c r="D17" s="17">
        <v>2991287</v>
      </c>
      <c r="E17" s="8">
        <v>10</v>
      </c>
      <c r="F17" s="9" t="s">
        <v>150</v>
      </c>
      <c r="G17" s="19" t="s">
        <v>76</v>
      </c>
      <c r="H17" s="12">
        <v>0.09</v>
      </c>
      <c r="I17" s="17">
        <f>ROUND((C17*H17),0)</f>
        <v>448213</v>
      </c>
      <c r="J17" s="17">
        <f>259883.84+114763.24+1742563.4+135795.23</f>
        <v>2253005.71</v>
      </c>
      <c r="K17" s="17">
        <f>D17-J17</f>
        <v>738281.29</v>
      </c>
      <c r="N17" s="8">
        <v>11</v>
      </c>
      <c r="O17" s="9" t="s">
        <v>150</v>
      </c>
      <c r="P17" s="19" t="s">
        <v>76</v>
      </c>
      <c r="Q17" s="12">
        <v>8.1791153806260647E-2</v>
      </c>
      <c r="R17" s="17">
        <f>C17*Q17</f>
        <v>407332.00687871827</v>
      </c>
      <c r="S17" s="17">
        <v>2134187</v>
      </c>
      <c r="T17" s="17">
        <f>D17-S17</f>
        <v>857100</v>
      </c>
    </row>
    <row r="18" spans="1:20" x14ac:dyDescent="0.25">
      <c r="A18" s="9" t="s">
        <v>153</v>
      </c>
      <c r="B18" s="8" t="s">
        <v>197</v>
      </c>
      <c r="C18" s="20">
        <v>10986094.369999999</v>
      </c>
      <c r="D18" s="20">
        <v>5287934</v>
      </c>
      <c r="E18" s="21">
        <v>10</v>
      </c>
      <c r="F18" s="22" t="s">
        <v>150</v>
      </c>
      <c r="G18" s="23" t="s">
        <v>76</v>
      </c>
      <c r="H18" s="24">
        <v>0.09</v>
      </c>
      <c r="I18" s="20">
        <f>ROUND((C18*H18),0)</f>
        <v>988748</v>
      </c>
      <c r="J18" s="20">
        <f>2263800.14+909553.24+470271.68+238460.5+251358.48</f>
        <v>4133444.04</v>
      </c>
      <c r="K18" s="20">
        <f>D18-J18</f>
        <v>1154489.96</v>
      </c>
      <c r="N18" s="21">
        <v>11</v>
      </c>
      <c r="O18" s="22" t="s">
        <v>150</v>
      </c>
      <c r="P18" s="23" t="s">
        <v>76</v>
      </c>
      <c r="Q18" s="24">
        <v>8.1807902934356122E-2</v>
      </c>
      <c r="R18" s="20">
        <f>C18*Q18</f>
        <v>898749.34184863616</v>
      </c>
      <c r="S18" s="20">
        <v>3894853</v>
      </c>
      <c r="T18" s="20">
        <f>D18-S18</f>
        <v>1393081</v>
      </c>
    </row>
    <row r="19" spans="1:20" ht="15.6" x14ac:dyDescent="0.3">
      <c r="A19" s="9"/>
      <c r="B19" s="4" t="s">
        <v>199</v>
      </c>
      <c r="C19" s="17">
        <f>SUM(C16:C18)</f>
        <v>27623666.390000001</v>
      </c>
      <c r="D19" s="17">
        <f>SUM(D16:D18)</f>
        <v>13459938</v>
      </c>
      <c r="E19" s="17"/>
      <c r="F19" s="9"/>
      <c r="G19" s="19"/>
      <c r="H19" s="12"/>
      <c r="I19" s="17">
        <f>SUM(I16:I18)</f>
        <v>2486129</v>
      </c>
      <c r="J19" s="17">
        <f>SUM(J16:J18)</f>
        <v>10351474.390000001</v>
      </c>
      <c r="K19" s="17">
        <f>SUM(K16:K18)</f>
        <v>3108463.6100000003</v>
      </c>
      <c r="O19" s="9"/>
      <c r="P19" s="19"/>
      <c r="Q19" s="10"/>
      <c r="R19" s="17">
        <f>SUM(R16:R18)</f>
        <v>2251396.6023880346</v>
      </c>
      <c r="S19" s="17">
        <f>SUM(S16:S18)</f>
        <v>9756153</v>
      </c>
      <c r="T19" s="17">
        <f>SUM(T16:T18)</f>
        <v>3703785</v>
      </c>
    </row>
    <row r="20" spans="1:20" x14ac:dyDescent="0.25">
      <c r="A20" s="9"/>
      <c r="C20" s="17"/>
      <c r="D20" s="17"/>
      <c r="E20" s="17"/>
      <c r="F20" s="17"/>
      <c r="G20" s="17"/>
      <c r="H20" s="12"/>
      <c r="I20" s="17"/>
      <c r="J20" s="17"/>
      <c r="K20" s="17"/>
      <c r="N20" s="17"/>
      <c r="O20" s="17"/>
      <c r="P20" s="17"/>
      <c r="Q20" s="17"/>
      <c r="R20" s="17"/>
      <c r="S20" s="17"/>
      <c r="T20" s="17"/>
    </row>
    <row r="21" spans="1:20" x14ac:dyDescent="0.25">
      <c r="A21" s="9" t="s">
        <v>154</v>
      </c>
      <c r="B21" s="8" t="s">
        <v>155</v>
      </c>
      <c r="C21" s="17">
        <v>35330719.799999997</v>
      </c>
      <c r="D21" s="17">
        <v>11726963</v>
      </c>
      <c r="E21" s="8">
        <v>12</v>
      </c>
      <c r="F21" s="9" t="s">
        <v>149</v>
      </c>
      <c r="G21" s="19" t="s">
        <v>76</v>
      </c>
      <c r="H21" s="12">
        <v>7.4999999999999997E-2</v>
      </c>
      <c r="I21" s="17">
        <f>ROUND((C21*H21),0)</f>
        <v>2649804</v>
      </c>
      <c r="J21" s="17">
        <f>8290832.14+3921331.18</f>
        <v>12212163.32</v>
      </c>
      <c r="K21" s="17">
        <f>D21-J21</f>
        <v>-485200.3200000003</v>
      </c>
      <c r="N21" s="8">
        <v>13</v>
      </c>
      <c r="O21" s="9" t="s">
        <v>150</v>
      </c>
      <c r="P21" s="19" t="s">
        <v>76</v>
      </c>
      <c r="Q21" s="12">
        <v>6.9129058923800141E-2</v>
      </c>
      <c r="R21" s="17">
        <f>C21*Q21</f>
        <v>2442379.410874472</v>
      </c>
      <c r="S21" s="17">
        <v>11049226</v>
      </c>
      <c r="T21" s="17">
        <f>D21-S21</f>
        <v>677737</v>
      </c>
    </row>
    <row r="22" spans="1:20" x14ac:dyDescent="0.25">
      <c r="A22" s="9" t="s">
        <v>157</v>
      </c>
      <c r="B22" s="8" t="s">
        <v>198</v>
      </c>
      <c r="C22" s="17">
        <v>5509708.54</v>
      </c>
      <c r="D22" s="17">
        <v>2437769</v>
      </c>
      <c r="E22" s="8">
        <v>12</v>
      </c>
      <c r="F22" s="9" t="s">
        <v>149</v>
      </c>
      <c r="G22" s="19" t="s">
        <v>156</v>
      </c>
      <c r="H22" s="12">
        <v>7.0800000000000002E-2</v>
      </c>
      <c r="I22" s="17">
        <f>ROUND((C22*H22),0)</f>
        <v>390087</v>
      </c>
      <c r="J22" s="17">
        <f>1820093.22+191176.91</f>
        <v>2011270.13</v>
      </c>
      <c r="K22" s="17">
        <f>D22-J22</f>
        <v>426498.87000000011</v>
      </c>
      <c r="N22" s="8">
        <v>13</v>
      </c>
      <c r="O22" s="9" t="s">
        <v>150</v>
      </c>
      <c r="P22" s="19" t="s">
        <v>76</v>
      </c>
      <c r="Q22" s="12">
        <v>6.9210048304358646E-2</v>
      </c>
      <c r="R22" s="17">
        <f>C22*Q22</f>
        <v>381327.19419633737</v>
      </c>
      <c r="S22" s="17">
        <v>1918859</v>
      </c>
      <c r="T22" s="17">
        <f>D22-S22</f>
        <v>518910</v>
      </c>
    </row>
    <row r="23" spans="1:20" x14ac:dyDescent="0.25">
      <c r="A23" s="9" t="s">
        <v>158</v>
      </c>
      <c r="B23" s="8" t="s">
        <v>159</v>
      </c>
      <c r="C23" s="20">
        <v>4553147.0599999996</v>
      </c>
      <c r="D23" s="20">
        <v>876081</v>
      </c>
      <c r="E23" s="21">
        <v>12</v>
      </c>
      <c r="F23" s="22" t="s">
        <v>149</v>
      </c>
      <c r="G23" s="23" t="s">
        <v>156</v>
      </c>
      <c r="H23" s="24">
        <v>7.0800000000000002E-2</v>
      </c>
      <c r="I23" s="20">
        <f>ROUND((C23*H23),0)</f>
        <v>322363</v>
      </c>
      <c r="J23" s="20">
        <f>805636.06+33621.54</f>
        <v>839257.60000000009</v>
      </c>
      <c r="K23" s="20">
        <f>D23-J23</f>
        <v>36823.399999999907</v>
      </c>
      <c r="N23" s="21">
        <v>13</v>
      </c>
      <c r="O23" s="22" t="s">
        <v>150</v>
      </c>
      <c r="P23" s="23" t="s">
        <v>76</v>
      </c>
      <c r="Q23" s="24">
        <v>6.9210306697266841E-2</v>
      </c>
      <c r="R23" s="20">
        <f>C23*Q23</f>
        <v>315124.70446035877</v>
      </c>
      <c r="S23" s="20">
        <v>805208</v>
      </c>
      <c r="T23" s="20">
        <f>D23-S23</f>
        <v>70873</v>
      </c>
    </row>
    <row r="24" spans="1:20" ht="15.6" x14ac:dyDescent="0.3">
      <c r="A24" s="9"/>
      <c r="B24" s="4" t="s">
        <v>200</v>
      </c>
      <c r="C24" s="17">
        <f>SUM(C21:C23)</f>
        <v>45393575.399999999</v>
      </c>
      <c r="D24" s="17">
        <f>SUM(D21:D23)</f>
        <v>15040813</v>
      </c>
      <c r="F24" s="9"/>
      <c r="G24" s="19"/>
      <c r="H24" s="59">
        <f>+I24/C24</f>
        <v>7.4068939720487406E-2</v>
      </c>
      <c r="I24" s="17">
        <f>SUM(I21:I23)</f>
        <v>3362254</v>
      </c>
      <c r="J24" s="17">
        <f>SUM(J21:J23)</f>
        <v>15062691.049999999</v>
      </c>
      <c r="K24" s="17">
        <f>SUM(K21:K23)</f>
        <v>-21878.050000000279</v>
      </c>
      <c r="O24" s="9"/>
      <c r="P24" s="19"/>
      <c r="Q24" s="10"/>
      <c r="R24" s="17">
        <f>SUM(R21:R23)</f>
        <v>3138831.3095311681</v>
      </c>
      <c r="S24" s="17">
        <f>SUM(S21:S23)</f>
        <v>13773293</v>
      </c>
      <c r="T24" s="17">
        <f>SUM(T21:T23)</f>
        <v>1267520</v>
      </c>
    </row>
    <row r="25" spans="1:20" x14ac:dyDescent="0.25">
      <c r="C25" s="17"/>
      <c r="D25" s="17"/>
      <c r="E25" s="17"/>
      <c r="F25" s="17"/>
      <c r="G25" s="17"/>
      <c r="H25" s="17"/>
      <c r="I25" s="17"/>
      <c r="J25" s="17"/>
      <c r="K25" s="17"/>
      <c r="N25" s="17"/>
      <c r="O25" s="17"/>
      <c r="P25" s="17"/>
      <c r="Q25" s="17"/>
      <c r="R25" s="17"/>
      <c r="S25" s="17"/>
      <c r="T25" s="17"/>
    </row>
    <row r="26" spans="1:20" x14ac:dyDescent="0.25">
      <c r="C26" s="17"/>
      <c r="D26" s="17"/>
      <c r="E26" s="17"/>
      <c r="F26" s="17"/>
      <c r="G26" s="17"/>
      <c r="H26" s="17"/>
      <c r="I26" s="17"/>
      <c r="J26" s="17"/>
      <c r="K26" s="17"/>
      <c r="N26" s="17"/>
      <c r="O26" s="17"/>
      <c r="P26" s="17"/>
      <c r="Q26" s="17"/>
      <c r="R26" s="17"/>
      <c r="S26" s="17"/>
      <c r="T26" s="17"/>
    </row>
    <row r="27" spans="1:20" x14ac:dyDescent="0.25">
      <c r="B27" s="8" t="s">
        <v>160</v>
      </c>
      <c r="C27" s="17">
        <f>+C24+C19+C14</f>
        <v>154145826.19</v>
      </c>
      <c r="D27" s="17">
        <f>+D24+D19+D14</f>
        <v>51951434</v>
      </c>
      <c r="H27" s="17"/>
      <c r="I27" s="17">
        <f>+I24+I19+I14</f>
        <v>8363369</v>
      </c>
      <c r="J27" s="17">
        <f>+J24+J19+J14</f>
        <v>45088150</v>
      </c>
      <c r="K27" s="17">
        <f>+K24+K19+K14</f>
        <v>6863284.0000000019</v>
      </c>
      <c r="N27" s="17"/>
      <c r="O27" s="17"/>
      <c r="Q27" s="17"/>
      <c r="R27" s="17">
        <f>+R24+R19+R14</f>
        <v>7604902.8766404996</v>
      </c>
      <c r="S27" s="17">
        <f>+S24+S19+S14</f>
        <v>47157291</v>
      </c>
      <c r="T27" s="17">
        <f>+T24+T19+T14</f>
        <v>4794143</v>
      </c>
    </row>
    <row r="28" spans="1:20" x14ac:dyDescent="0.25">
      <c r="C28" s="17"/>
      <c r="D28" s="17"/>
      <c r="H28" s="10"/>
      <c r="I28" s="17"/>
      <c r="J28" s="17"/>
      <c r="K28" s="17"/>
      <c r="Q28" s="10"/>
      <c r="R28" s="17"/>
      <c r="S28" s="17"/>
      <c r="T28" s="17"/>
    </row>
    <row r="29" spans="1:20" x14ac:dyDescent="0.25">
      <c r="T29" s="17"/>
    </row>
    <row r="30" spans="1:20" x14ac:dyDescent="0.25">
      <c r="S30" s="17"/>
      <c r="T30" s="17"/>
    </row>
    <row r="31" spans="1:20" ht="16.2" thickBot="1" x14ac:dyDescent="0.35">
      <c r="E31" s="51" t="s">
        <v>293</v>
      </c>
      <c r="F31" s="51"/>
      <c r="G31" s="51"/>
      <c r="H31" s="51"/>
      <c r="I31" s="51"/>
      <c r="J31" s="51"/>
      <c r="K31" s="51"/>
      <c r="N31" s="63" t="s">
        <v>307</v>
      </c>
      <c r="O31" s="63"/>
      <c r="P31" s="63"/>
      <c r="Q31" s="63"/>
      <c r="R31" s="63"/>
      <c r="S31" s="63"/>
      <c r="T31" s="63"/>
    </row>
    <row r="32" spans="1:20" x14ac:dyDescent="0.25">
      <c r="D32" s="18">
        <v>43830</v>
      </c>
    </row>
    <row r="33" spans="1:21" x14ac:dyDescent="0.25">
      <c r="D33" s="9" t="s">
        <v>2</v>
      </c>
      <c r="K33" s="9" t="s">
        <v>3</v>
      </c>
      <c r="T33" s="9" t="s">
        <v>3</v>
      </c>
    </row>
    <row r="34" spans="1:21" x14ac:dyDescent="0.25">
      <c r="C34" s="9" t="s">
        <v>4</v>
      </c>
      <c r="D34" s="9" t="s">
        <v>5</v>
      </c>
      <c r="F34" s="9" t="s">
        <v>29</v>
      </c>
      <c r="G34" s="9" t="s">
        <v>30</v>
      </c>
      <c r="H34" s="9" t="s">
        <v>31</v>
      </c>
      <c r="I34" s="9" t="s">
        <v>6</v>
      </c>
      <c r="J34" s="9" t="s">
        <v>7</v>
      </c>
      <c r="K34" s="9" t="s">
        <v>8</v>
      </c>
      <c r="M34" s="9"/>
      <c r="O34" s="9" t="s">
        <v>29</v>
      </c>
      <c r="P34" s="9" t="s">
        <v>30</v>
      </c>
      <c r="Q34" s="9" t="s">
        <v>31</v>
      </c>
      <c r="R34" s="9" t="s">
        <v>6</v>
      </c>
      <c r="S34" s="9" t="s">
        <v>7</v>
      </c>
      <c r="T34" s="9" t="s">
        <v>8</v>
      </c>
    </row>
    <row r="35" spans="1:21" x14ac:dyDescent="0.25">
      <c r="A35" s="6" t="s">
        <v>33</v>
      </c>
      <c r="B35" s="6" t="s">
        <v>34</v>
      </c>
      <c r="C35" s="6" t="s">
        <v>294</v>
      </c>
      <c r="D35" s="6" t="s">
        <v>9</v>
      </c>
      <c r="E35" s="6" t="s">
        <v>35</v>
      </c>
      <c r="F35" s="6" t="s">
        <v>36</v>
      </c>
      <c r="G35" s="6" t="s">
        <v>37</v>
      </c>
      <c r="H35" s="6" t="s">
        <v>41</v>
      </c>
      <c r="I35" s="6" t="s">
        <v>10</v>
      </c>
      <c r="J35" s="6" t="s">
        <v>11</v>
      </c>
      <c r="K35" s="6" t="s">
        <v>11</v>
      </c>
      <c r="L35" s="7"/>
      <c r="M35" s="6"/>
      <c r="N35" s="6" t="s">
        <v>35</v>
      </c>
      <c r="O35" s="6" t="s">
        <v>36</v>
      </c>
      <c r="P35" s="6" t="s">
        <v>37</v>
      </c>
      <c r="Q35" s="6" t="s">
        <v>41</v>
      </c>
      <c r="R35" s="6" t="s">
        <v>10</v>
      </c>
      <c r="S35" s="6" t="s">
        <v>11</v>
      </c>
      <c r="T35" s="6" t="s">
        <v>11</v>
      </c>
      <c r="U35" s="7"/>
    </row>
    <row r="36" spans="1:2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7"/>
      <c r="M36" s="6"/>
      <c r="N36" s="6"/>
      <c r="O36" s="6"/>
      <c r="P36" s="6"/>
      <c r="Q36" s="6"/>
      <c r="R36" s="6"/>
      <c r="S36" s="6"/>
      <c r="T36" s="6"/>
      <c r="U36" s="7"/>
    </row>
    <row r="37" spans="1:21" ht="15.6" x14ac:dyDescent="0.3">
      <c r="A37" s="4" t="s">
        <v>288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7"/>
      <c r="M37" s="6"/>
      <c r="N37" s="6"/>
      <c r="O37" s="6"/>
      <c r="P37" s="6"/>
      <c r="Q37" s="6"/>
      <c r="R37" s="6"/>
      <c r="S37" s="6"/>
      <c r="T37" s="6"/>
      <c r="U37" s="7"/>
    </row>
    <row r="38" spans="1:21" x14ac:dyDescent="0.25">
      <c r="A38" s="9" t="s">
        <v>161</v>
      </c>
      <c r="B38" s="8" t="s">
        <v>162</v>
      </c>
      <c r="C38" s="17">
        <v>8012968.5999999996</v>
      </c>
      <c r="D38" s="17">
        <v>1590480</v>
      </c>
      <c r="E38" s="25">
        <v>8</v>
      </c>
      <c r="F38" s="26" t="s">
        <v>163</v>
      </c>
      <c r="G38" s="27" t="s">
        <v>121</v>
      </c>
      <c r="H38" s="12">
        <v>0.125</v>
      </c>
      <c r="I38" s="17">
        <f>ROUND((C38*H38),0)</f>
        <v>1001621</v>
      </c>
      <c r="J38" s="17">
        <v>9864619.2300000004</v>
      </c>
      <c r="K38" s="17">
        <f>D38-J38</f>
        <v>-8274139.2300000004</v>
      </c>
      <c r="M38" s="17"/>
      <c r="N38" s="25">
        <v>5</v>
      </c>
      <c r="O38" s="26" t="s">
        <v>163</v>
      </c>
      <c r="P38" s="27">
        <v>0</v>
      </c>
      <c r="Q38" s="12">
        <v>0.20000004215038947</v>
      </c>
      <c r="R38" s="17">
        <f>C38*Q38</f>
        <v>1602594.0577497473</v>
      </c>
      <c r="S38" s="17">
        <v>4205194</v>
      </c>
      <c r="T38" s="17">
        <f>D38-S38</f>
        <v>-2614714</v>
      </c>
    </row>
    <row r="39" spans="1:21" x14ac:dyDescent="0.25">
      <c r="A39" s="9"/>
      <c r="C39" s="17">
        <v>8836801</v>
      </c>
      <c r="D39" s="17">
        <v>8836801</v>
      </c>
      <c r="E39" s="25"/>
      <c r="F39" s="26"/>
      <c r="G39" s="27"/>
      <c r="H39" s="12"/>
      <c r="I39" s="17"/>
      <c r="J39" s="17"/>
      <c r="K39" s="17"/>
      <c r="M39" s="17"/>
      <c r="N39" s="25"/>
      <c r="O39" s="26"/>
      <c r="P39" s="27"/>
      <c r="Q39" s="12"/>
      <c r="R39" s="17">
        <f>C39*Q39</f>
        <v>0</v>
      </c>
      <c r="S39" s="17">
        <v>8836801</v>
      </c>
      <c r="T39" s="17">
        <f>D39-S39</f>
        <v>0</v>
      </c>
    </row>
    <row r="40" spans="1:21" x14ac:dyDescent="0.25">
      <c r="C40" s="17"/>
      <c r="D40" s="17"/>
      <c r="E40" s="25"/>
      <c r="F40" s="26"/>
      <c r="G40" s="27"/>
      <c r="H40" s="12"/>
      <c r="I40" s="17"/>
      <c r="J40" s="17"/>
      <c r="K40" s="17"/>
      <c r="M40" s="17"/>
      <c r="N40" s="25"/>
      <c r="O40" s="26"/>
      <c r="P40" s="27"/>
      <c r="Q40" s="12"/>
      <c r="R40" s="17"/>
      <c r="S40" s="17"/>
      <c r="T40" s="17"/>
    </row>
    <row r="41" spans="1:21" x14ac:dyDescent="0.25">
      <c r="A41" s="9" t="s">
        <v>164</v>
      </c>
      <c r="B41" s="8" t="s">
        <v>165</v>
      </c>
      <c r="C41" s="17">
        <v>1365981.01</v>
      </c>
      <c r="D41" s="17">
        <v>411248</v>
      </c>
      <c r="E41" s="25">
        <v>12</v>
      </c>
      <c r="F41" s="26" t="s">
        <v>163</v>
      </c>
      <c r="G41" s="27" t="s">
        <v>121</v>
      </c>
      <c r="H41" s="12">
        <v>8.3299999999999999E-2</v>
      </c>
      <c r="I41" s="17">
        <f>ROUND((C41*H41),0)</f>
        <v>113786</v>
      </c>
      <c r="J41" s="17">
        <v>355104.37</v>
      </c>
      <c r="K41" s="17">
        <f>D41-J41</f>
        <v>56143.630000000005</v>
      </c>
      <c r="M41" s="17"/>
      <c r="N41" s="25">
        <v>10</v>
      </c>
      <c r="O41" s="26" t="s">
        <v>163</v>
      </c>
      <c r="P41" s="27">
        <v>0</v>
      </c>
      <c r="Q41" s="12">
        <v>0.1</v>
      </c>
      <c r="R41" s="17">
        <f>C41*Q41</f>
        <v>136598.101</v>
      </c>
      <c r="S41" s="17">
        <v>426126</v>
      </c>
      <c r="T41" s="17">
        <f>D41-S41</f>
        <v>-14878</v>
      </c>
    </row>
    <row r="42" spans="1:21" x14ac:dyDescent="0.25">
      <c r="C42" s="17"/>
      <c r="D42" s="17"/>
      <c r="E42" s="25"/>
      <c r="F42" s="26"/>
      <c r="G42" s="27"/>
      <c r="H42" s="12"/>
      <c r="I42" s="17"/>
      <c r="J42" s="17"/>
      <c r="K42" s="17"/>
      <c r="M42" s="17"/>
      <c r="N42" s="25"/>
      <c r="O42" s="26"/>
      <c r="P42" s="27"/>
      <c r="Q42" s="12"/>
      <c r="R42" s="17"/>
      <c r="S42" s="17"/>
      <c r="T42" s="17"/>
    </row>
    <row r="43" spans="1:21" x14ac:dyDescent="0.25">
      <c r="A43" s="9" t="s">
        <v>166</v>
      </c>
      <c r="B43" s="8" t="s">
        <v>167</v>
      </c>
      <c r="C43" s="17">
        <v>18894</v>
      </c>
      <c r="D43" s="17">
        <v>3872</v>
      </c>
      <c r="E43" s="25">
        <v>20</v>
      </c>
      <c r="F43" s="26" t="s">
        <v>163</v>
      </c>
      <c r="G43" s="27" t="s">
        <v>121</v>
      </c>
      <c r="H43" s="12">
        <v>0.05</v>
      </c>
      <c r="I43" s="17">
        <f>ROUND((C43*H43),0)</f>
        <v>945</v>
      </c>
      <c r="J43" s="17">
        <v>43434.9</v>
      </c>
      <c r="K43" s="17">
        <f>D43-J43</f>
        <v>-39562.9</v>
      </c>
      <c r="M43" s="17"/>
      <c r="N43" s="25">
        <v>10</v>
      </c>
      <c r="O43" s="26" t="s">
        <v>163</v>
      </c>
      <c r="P43" s="27">
        <v>0</v>
      </c>
      <c r="Q43" s="12">
        <v>9.9978829257965487E-2</v>
      </c>
      <c r="R43" s="17">
        <f>C43*Q43</f>
        <v>1889</v>
      </c>
      <c r="S43" s="17">
        <v>12281</v>
      </c>
      <c r="T43" s="17">
        <f>D43-S43</f>
        <v>-8409</v>
      </c>
    </row>
    <row r="44" spans="1:21" x14ac:dyDescent="0.25">
      <c r="A44" s="9"/>
      <c r="C44" s="17">
        <v>39734</v>
      </c>
      <c r="D44" s="17">
        <v>39734</v>
      </c>
      <c r="E44" s="25"/>
      <c r="F44" s="26"/>
      <c r="G44" s="27"/>
      <c r="H44" s="12"/>
      <c r="I44" s="17"/>
      <c r="J44" s="17"/>
      <c r="K44" s="17"/>
      <c r="M44" s="17"/>
      <c r="N44" s="25"/>
      <c r="O44" s="26"/>
      <c r="P44" s="27"/>
      <c r="Q44" s="12"/>
      <c r="R44" s="17">
        <f>C44*Q44</f>
        <v>0</v>
      </c>
      <c r="S44" s="17">
        <v>39734</v>
      </c>
      <c r="T44" s="17">
        <f>D44-S44</f>
        <v>0</v>
      </c>
    </row>
    <row r="45" spans="1:21" x14ac:dyDescent="0.25">
      <c r="A45" s="9"/>
      <c r="C45" s="17"/>
      <c r="D45" s="17"/>
      <c r="E45" s="25"/>
      <c r="F45" s="26"/>
      <c r="G45" s="27"/>
      <c r="H45" s="12"/>
      <c r="I45" s="17"/>
      <c r="J45" s="17"/>
      <c r="K45" s="17"/>
      <c r="M45" s="17"/>
      <c r="N45" s="25"/>
      <c r="O45" s="26"/>
      <c r="P45" s="27"/>
      <c r="Q45" s="12"/>
      <c r="R45" s="17"/>
      <c r="S45" s="17"/>
      <c r="T45" s="17"/>
    </row>
    <row r="46" spans="1:21" ht="13.5" customHeight="1" x14ac:dyDescent="0.25">
      <c r="A46" s="9" t="s">
        <v>168</v>
      </c>
      <c r="B46" s="8" t="s">
        <v>169</v>
      </c>
      <c r="C46" s="17">
        <v>4234302.57</v>
      </c>
      <c r="D46" s="17">
        <v>1029002</v>
      </c>
      <c r="E46" s="25">
        <v>20</v>
      </c>
      <c r="F46" s="26" t="s">
        <v>163</v>
      </c>
      <c r="G46" s="27" t="s">
        <v>121</v>
      </c>
      <c r="H46" s="12">
        <v>0.05</v>
      </c>
      <c r="I46" s="17">
        <f>ROUND((C46*H46),0)</f>
        <v>211715</v>
      </c>
      <c r="J46" s="17">
        <v>2623352.61</v>
      </c>
      <c r="K46" s="17">
        <f>D46-J46</f>
        <v>-1594350.6099999999</v>
      </c>
      <c r="M46" s="17"/>
      <c r="N46" s="25">
        <v>15</v>
      </c>
      <c r="O46" s="26" t="s">
        <v>163</v>
      </c>
      <c r="P46" s="27">
        <v>0</v>
      </c>
      <c r="Q46" s="12">
        <v>6.6699866093471061E-2</v>
      </c>
      <c r="R46" s="17">
        <f>C46*Q46</f>
        <v>282427.41441824037</v>
      </c>
      <c r="S46" s="17">
        <v>1393131</v>
      </c>
      <c r="T46" s="17">
        <f>D46-S46</f>
        <v>-364129</v>
      </c>
    </row>
    <row r="47" spans="1:21" ht="13.5" customHeight="1" x14ac:dyDescent="0.25">
      <c r="A47" s="9"/>
      <c r="C47" s="17">
        <v>1724812</v>
      </c>
      <c r="D47" s="17">
        <v>1724812</v>
      </c>
      <c r="E47" s="25"/>
      <c r="F47" s="26"/>
      <c r="G47" s="27"/>
      <c r="H47" s="12"/>
      <c r="I47" s="17"/>
      <c r="J47" s="17"/>
      <c r="K47" s="17"/>
      <c r="M47" s="17"/>
      <c r="N47" s="25"/>
      <c r="O47" s="26"/>
      <c r="P47" s="27"/>
      <c r="Q47" s="12"/>
      <c r="R47" s="17">
        <f>C47*Q47</f>
        <v>0</v>
      </c>
      <c r="S47" s="17">
        <v>1724812</v>
      </c>
      <c r="T47" s="17">
        <f>D47-S47</f>
        <v>0</v>
      </c>
    </row>
    <row r="48" spans="1:21" x14ac:dyDescent="0.25">
      <c r="C48" s="17"/>
      <c r="D48" s="17"/>
      <c r="E48" s="25"/>
      <c r="F48" s="26"/>
      <c r="G48" s="27"/>
      <c r="H48" s="12"/>
      <c r="I48" s="17"/>
      <c r="J48" s="17"/>
      <c r="K48" s="17"/>
      <c r="M48" s="17"/>
      <c r="N48" s="25"/>
      <c r="O48" s="26"/>
      <c r="P48" s="27"/>
      <c r="Q48" s="12"/>
      <c r="R48" s="17"/>
      <c r="S48" s="17"/>
      <c r="T48" s="17"/>
    </row>
    <row r="49" spans="1:21" x14ac:dyDescent="0.25">
      <c r="A49" s="9" t="s">
        <v>170</v>
      </c>
      <c r="B49" s="8" t="s">
        <v>171</v>
      </c>
      <c r="C49" s="17">
        <v>55927.68</v>
      </c>
      <c r="D49" s="17">
        <v>-14864</v>
      </c>
      <c r="E49" s="25">
        <v>35</v>
      </c>
      <c r="F49" s="26" t="s">
        <v>163</v>
      </c>
      <c r="G49" s="27" t="s">
        <v>121</v>
      </c>
      <c r="H49" s="12">
        <v>2.86E-2</v>
      </c>
      <c r="I49" s="17">
        <f>ROUND((C49*H49),0)</f>
        <v>1600</v>
      </c>
      <c r="J49" s="17">
        <v>140889.10999999999</v>
      </c>
      <c r="K49" s="17">
        <f>D49-J49</f>
        <v>-155753.10999999999</v>
      </c>
      <c r="M49" s="17"/>
      <c r="N49" s="25">
        <v>25</v>
      </c>
      <c r="O49" s="26" t="s">
        <v>163</v>
      </c>
      <c r="P49" s="27">
        <v>0</v>
      </c>
      <c r="Q49" s="12">
        <v>3.9998840052970913E-2</v>
      </c>
      <c r="R49" s="17">
        <f>C49*Q49</f>
        <v>2237.0423268537402</v>
      </c>
      <c r="S49" s="17">
        <v>30435</v>
      </c>
      <c r="T49" s="17">
        <f>D49-S49</f>
        <v>-45299</v>
      </c>
    </row>
    <row r="50" spans="1:21" x14ac:dyDescent="0.25">
      <c r="A50" s="9"/>
      <c r="C50" s="17">
        <v>144448</v>
      </c>
      <c r="D50" s="17">
        <v>144448</v>
      </c>
      <c r="E50" s="25"/>
      <c r="F50" s="26"/>
      <c r="G50" s="27"/>
      <c r="H50" s="12"/>
      <c r="I50" s="17"/>
      <c r="J50" s="17"/>
      <c r="K50" s="17"/>
      <c r="M50" s="17"/>
      <c r="N50" s="25"/>
      <c r="O50" s="26"/>
      <c r="P50" s="27"/>
      <c r="Q50" s="12"/>
      <c r="R50" s="17">
        <f>C50*Q50</f>
        <v>0</v>
      </c>
      <c r="S50" s="17">
        <v>144448</v>
      </c>
      <c r="T50" s="17">
        <f>D50-S50</f>
        <v>0</v>
      </c>
    </row>
    <row r="51" spans="1:21" x14ac:dyDescent="0.25">
      <c r="A51" s="9"/>
      <c r="C51" s="17"/>
      <c r="D51" s="17"/>
      <c r="E51" s="25"/>
      <c r="F51" s="26"/>
      <c r="G51" s="27"/>
      <c r="H51" s="12"/>
      <c r="I51" s="17"/>
      <c r="J51" s="17"/>
      <c r="K51" s="17"/>
      <c r="M51" s="17"/>
      <c r="N51" s="25"/>
      <c r="O51" s="26"/>
      <c r="P51" s="27"/>
      <c r="Q51" s="12"/>
      <c r="R51" s="17"/>
      <c r="S51" s="17"/>
      <c r="T51" s="17"/>
    </row>
    <row r="52" spans="1:21" x14ac:dyDescent="0.25">
      <c r="A52" s="9" t="s">
        <v>172</v>
      </c>
      <c r="B52" s="8" t="s">
        <v>173</v>
      </c>
      <c r="C52" s="17">
        <v>715719.48</v>
      </c>
      <c r="D52" s="17">
        <v>91993</v>
      </c>
      <c r="E52" s="25">
        <v>35</v>
      </c>
      <c r="F52" s="26" t="s">
        <v>163</v>
      </c>
      <c r="G52" s="27" t="s">
        <v>121</v>
      </c>
      <c r="H52" s="12">
        <v>2.86E-2</v>
      </c>
      <c r="I52" s="17">
        <f>ROUND((C52*H52),0)</f>
        <v>20470</v>
      </c>
      <c r="J52" s="17">
        <v>168321.73</v>
      </c>
      <c r="K52" s="17">
        <f>D52-J52</f>
        <v>-76328.73000000001</v>
      </c>
      <c r="M52" s="17"/>
      <c r="N52" s="25">
        <v>25</v>
      </c>
      <c r="O52" s="26" t="s">
        <v>163</v>
      </c>
      <c r="P52" s="27">
        <v>0</v>
      </c>
      <c r="Q52" s="12">
        <v>4.0000832960236564E-2</v>
      </c>
      <c r="R52" s="17">
        <f>C52*Q52</f>
        <v>28629.375365867374</v>
      </c>
      <c r="S52" s="17">
        <v>167182</v>
      </c>
      <c r="T52" s="17">
        <f>D52-S52</f>
        <v>-75189</v>
      </c>
    </row>
    <row r="53" spans="1:21" x14ac:dyDescent="0.25">
      <c r="A53" s="9"/>
      <c r="C53" s="17">
        <v>58484</v>
      </c>
      <c r="D53" s="17">
        <v>58484</v>
      </c>
      <c r="E53" s="25"/>
      <c r="F53" s="26"/>
      <c r="G53" s="27"/>
      <c r="H53" s="12"/>
      <c r="I53" s="17"/>
      <c r="J53" s="17"/>
      <c r="K53" s="17"/>
      <c r="M53" s="17"/>
      <c r="N53" s="25"/>
      <c r="O53" s="26"/>
      <c r="P53" s="27"/>
      <c r="Q53" s="12"/>
      <c r="R53" s="17">
        <f>C53*Q53</f>
        <v>0</v>
      </c>
      <c r="S53" s="17">
        <v>58484</v>
      </c>
      <c r="T53" s="17">
        <f>D53-S53</f>
        <v>0</v>
      </c>
    </row>
    <row r="54" spans="1:21" x14ac:dyDescent="0.25">
      <c r="C54" s="17"/>
      <c r="D54" s="17"/>
      <c r="E54" s="25"/>
      <c r="F54" s="26"/>
      <c r="G54" s="27"/>
      <c r="H54" s="12"/>
      <c r="I54" s="17"/>
      <c r="J54" s="17"/>
      <c r="K54" s="17"/>
      <c r="M54" s="17"/>
      <c r="N54" s="25"/>
      <c r="O54" s="26"/>
      <c r="P54" s="27"/>
      <c r="Q54" s="12"/>
      <c r="R54" s="17"/>
      <c r="S54" s="17"/>
      <c r="T54" s="17"/>
    </row>
    <row r="55" spans="1:21" x14ac:dyDescent="0.25">
      <c r="A55" s="9" t="s">
        <v>174</v>
      </c>
      <c r="B55" s="8" t="s">
        <v>175</v>
      </c>
      <c r="C55" s="17">
        <v>52820</v>
      </c>
      <c r="D55" s="17">
        <v>30409</v>
      </c>
      <c r="E55" s="25">
        <v>30</v>
      </c>
      <c r="F55" s="26" t="s">
        <v>163</v>
      </c>
      <c r="G55" s="27" t="s">
        <v>121</v>
      </c>
      <c r="H55" s="12">
        <v>3.3300000000000003E-2</v>
      </c>
      <c r="I55" s="17">
        <f>ROUND((C55*H55),0)</f>
        <v>1759</v>
      </c>
      <c r="J55" s="17">
        <v>165121.69</v>
      </c>
      <c r="K55" s="17">
        <f>D55-J55</f>
        <v>-134712.69</v>
      </c>
      <c r="M55" s="17"/>
      <c r="N55" s="25">
        <v>25</v>
      </c>
      <c r="O55" s="26" t="s">
        <v>163</v>
      </c>
      <c r="P55" s="27">
        <v>0</v>
      </c>
      <c r="Q55" s="12">
        <v>4.0003445197863981E-2</v>
      </c>
      <c r="R55" s="17">
        <f>C55*Q55</f>
        <v>2112.9819753511756</v>
      </c>
      <c r="S55" s="17">
        <v>44168</v>
      </c>
      <c r="T55" s="17">
        <f>D55-S55</f>
        <v>-13759</v>
      </c>
    </row>
    <row r="56" spans="1:21" x14ac:dyDescent="0.25">
      <c r="A56" s="9"/>
      <c r="C56" s="17">
        <v>138929</v>
      </c>
      <c r="D56" s="17">
        <v>138929</v>
      </c>
      <c r="E56" s="25"/>
      <c r="F56" s="26"/>
      <c r="G56" s="27"/>
      <c r="H56" s="12"/>
      <c r="I56" s="17"/>
      <c r="J56" s="17"/>
      <c r="K56" s="17"/>
      <c r="M56" s="17"/>
      <c r="N56" s="25"/>
      <c r="O56" s="26"/>
      <c r="P56" s="27"/>
      <c r="Q56" s="12"/>
      <c r="R56" s="17">
        <f>C56*Q56</f>
        <v>0</v>
      </c>
      <c r="S56" s="17">
        <v>138929</v>
      </c>
      <c r="T56" s="17">
        <f>D56-S56</f>
        <v>0</v>
      </c>
    </row>
    <row r="57" spans="1:21" x14ac:dyDescent="0.25">
      <c r="A57" s="9"/>
      <c r="C57" s="17"/>
      <c r="D57" s="17"/>
      <c r="E57" s="25"/>
      <c r="F57" s="26"/>
      <c r="G57" s="27"/>
      <c r="H57" s="12"/>
      <c r="I57" s="17"/>
      <c r="J57" s="17"/>
      <c r="K57" s="17"/>
      <c r="M57" s="17"/>
      <c r="N57" s="25"/>
      <c r="O57" s="26"/>
      <c r="P57" s="27"/>
      <c r="Q57" s="12"/>
      <c r="R57" s="17"/>
      <c r="S57" s="17"/>
      <c r="T57" s="17"/>
    </row>
    <row r="58" spans="1:21" x14ac:dyDescent="0.25">
      <c r="A58" s="9" t="s">
        <v>176</v>
      </c>
      <c r="B58" s="8" t="s">
        <v>177</v>
      </c>
      <c r="C58" s="17">
        <v>329214</v>
      </c>
      <c r="D58" s="17">
        <v>188530</v>
      </c>
      <c r="E58" s="25">
        <v>30</v>
      </c>
      <c r="F58" s="26" t="s">
        <v>163</v>
      </c>
      <c r="G58" s="27" t="s">
        <v>121</v>
      </c>
      <c r="H58" s="12">
        <v>3.3300000000000003E-2</v>
      </c>
      <c r="I58" s="17">
        <f>ROUND((C58*H58),0)</f>
        <v>10963</v>
      </c>
      <c r="J58" s="17">
        <v>616704.37</v>
      </c>
      <c r="K58" s="17">
        <f>D58-J58</f>
        <v>-428174.37</v>
      </c>
      <c r="M58" s="17"/>
      <c r="N58" s="25">
        <v>25</v>
      </c>
      <c r="O58" s="26" t="s">
        <v>163</v>
      </c>
      <c r="P58" s="27">
        <v>0</v>
      </c>
      <c r="Q58" s="12">
        <v>4.0000349454850433E-2</v>
      </c>
      <c r="R58" s="17">
        <f>C58*Q58</f>
        <v>13168.67504542913</v>
      </c>
      <c r="S58" s="17">
        <v>257055</v>
      </c>
      <c r="T58" s="17">
        <f>D58-S58</f>
        <v>-68525</v>
      </c>
    </row>
    <row r="59" spans="1:21" x14ac:dyDescent="0.25">
      <c r="A59" s="9"/>
      <c r="C59" s="17">
        <v>438045</v>
      </c>
      <c r="D59" s="17">
        <v>438045</v>
      </c>
      <c r="E59" s="25"/>
      <c r="F59" s="26"/>
      <c r="G59" s="27"/>
      <c r="H59" s="12"/>
      <c r="I59" s="17"/>
      <c r="J59" s="17"/>
      <c r="K59" s="17"/>
      <c r="M59" s="17"/>
      <c r="N59" s="25"/>
      <c r="O59" s="26"/>
      <c r="P59" s="27"/>
      <c r="R59" s="17">
        <f>C59*Q59</f>
        <v>0</v>
      </c>
      <c r="S59" s="17">
        <v>438045</v>
      </c>
      <c r="T59" s="17">
        <f>D59-S59</f>
        <v>0</v>
      </c>
    </row>
    <row r="60" spans="1:21" x14ac:dyDescent="0.25">
      <c r="A60" s="9"/>
      <c r="C60" s="17"/>
      <c r="D60" s="17"/>
      <c r="E60" s="25"/>
      <c r="F60" s="26"/>
      <c r="G60" s="27"/>
      <c r="H60" s="12"/>
      <c r="I60" s="17"/>
      <c r="J60" s="17"/>
      <c r="K60" s="17"/>
      <c r="M60" s="17"/>
      <c r="N60" s="25"/>
      <c r="O60" s="26"/>
      <c r="P60" s="27"/>
      <c r="Q60" s="12"/>
      <c r="R60" s="17"/>
      <c r="S60" s="17"/>
      <c r="T60" s="17"/>
    </row>
    <row r="61" spans="1:21" x14ac:dyDescent="0.25">
      <c r="A61" s="9"/>
      <c r="C61" s="17"/>
      <c r="D61" s="17"/>
      <c r="E61" s="25"/>
      <c r="F61" s="26"/>
      <c r="G61" s="27"/>
      <c r="H61" s="12"/>
      <c r="I61" s="17"/>
      <c r="J61" s="17"/>
      <c r="K61" s="17"/>
      <c r="L61" s="19" t="s">
        <v>304</v>
      </c>
      <c r="M61" s="17"/>
      <c r="N61" s="25"/>
      <c r="O61" s="26"/>
      <c r="P61" s="27"/>
      <c r="Q61" s="12"/>
      <c r="R61" s="17"/>
      <c r="S61" s="17"/>
      <c r="T61" s="17"/>
      <c r="U61" s="19" t="s">
        <v>304</v>
      </c>
    </row>
    <row r="62" spans="1:21" x14ac:dyDescent="0.25">
      <c r="A62" s="9"/>
      <c r="C62" s="17"/>
      <c r="D62" s="17"/>
      <c r="E62" s="25"/>
      <c r="F62" s="26"/>
      <c r="G62" s="27"/>
      <c r="H62" s="12"/>
      <c r="I62" s="17"/>
      <c r="J62" s="17"/>
      <c r="K62" s="17"/>
      <c r="L62" s="19" t="s">
        <v>144</v>
      </c>
      <c r="M62" s="17"/>
      <c r="N62" s="25"/>
      <c r="O62" s="26"/>
      <c r="P62" s="27"/>
      <c r="Q62" s="12"/>
      <c r="T62" s="17"/>
      <c r="U62" s="19" t="s">
        <v>144</v>
      </c>
    </row>
    <row r="63" spans="1:21" x14ac:dyDescent="0.25">
      <c r="A63" s="9"/>
      <c r="C63" s="17"/>
      <c r="D63" s="17"/>
      <c r="E63" s="25"/>
      <c r="F63" s="26"/>
      <c r="G63" s="27"/>
      <c r="H63" s="12"/>
      <c r="I63" s="17"/>
      <c r="J63" s="17"/>
      <c r="K63" s="17"/>
      <c r="L63" s="19" t="s">
        <v>312</v>
      </c>
      <c r="M63" s="17"/>
      <c r="N63" s="25"/>
      <c r="O63" s="26"/>
      <c r="P63" s="27"/>
      <c r="Q63" s="12"/>
      <c r="R63" s="17"/>
      <c r="T63" s="17"/>
      <c r="U63" s="19" t="s">
        <v>314</v>
      </c>
    </row>
    <row r="64" spans="1:21" ht="15.6" x14ac:dyDescent="0.3">
      <c r="A64" s="55" t="s">
        <v>0</v>
      </c>
      <c r="B64" s="55"/>
      <c r="C64" s="55"/>
      <c r="D64" s="55"/>
      <c r="E64" s="55"/>
      <c r="F64" s="55"/>
      <c r="G64" s="55"/>
      <c r="H64" s="55"/>
      <c r="I64" s="4"/>
      <c r="J64" s="4"/>
      <c r="K64" s="4"/>
      <c r="R64" s="17"/>
    </row>
    <row r="65" spans="1:20" ht="15.6" x14ac:dyDescent="0.3">
      <c r="A65" s="55" t="s">
        <v>299</v>
      </c>
      <c r="B65" s="55"/>
      <c r="C65" s="55"/>
      <c r="D65" s="55"/>
      <c r="E65" s="55"/>
      <c r="F65" s="55"/>
      <c r="G65" s="55"/>
      <c r="H65" s="55"/>
      <c r="I65" s="4"/>
      <c r="J65" s="4"/>
      <c r="K65" s="4"/>
      <c r="L65" s="16"/>
      <c r="M65" s="16"/>
    </row>
    <row r="66" spans="1:20" ht="15.6" x14ac:dyDescent="0.3">
      <c r="A66" s="55" t="s">
        <v>145</v>
      </c>
      <c r="B66" s="55"/>
      <c r="C66" s="55"/>
      <c r="D66" s="55"/>
      <c r="E66" s="55"/>
      <c r="F66" s="55"/>
      <c r="G66" s="55"/>
      <c r="H66" s="55"/>
      <c r="I66" s="4"/>
      <c r="J66" s="4"/>
      <c r="K66" s="4"/>
      <c r="L66" s="16"/>
      <c r="M66" s="16"/>
    </row>
    <row r="67" spans="1:20" x14ac:dyDescent="0.25">
      <c r="A67" s="9"/>
      <c r="C67" s="17"/>
      <c r="D67" s="17"/>
      <c r="E67" s="25"/>
      <c r="F67" s="26"/>
      <c r="G67" s="27"/>
      <c r="H67" s="12"/>
      <c r="I67" s="17"/>
      <c r="J67" s="17"/>
      <c r="K67" s="17"/>
      <c r="M67" s="17"/>
      <c r="N67" s="25"/>
      <c r="O67" s="26"/>
      <c r="P67" s="27"/>
      <c r="Q67" s="12"/>
      <c r="T67" s="17"/>
    </row>
    <row r="68" spans="1:20" ht="15.6" x14ac:dyDescent="0.3">
      <c r="A68" s="15"/>
      <c r="C68" s="17"/>
      <c r="D68" s="17"/>
      <c r="E68" s="25"/>
      <c r="F68" s="26"/>
      <c r="G68" s="27"/>
      <c r="H68" s="12"/>
      <c r="I68" s="17"/>
      <c r="J68" s="17"/>
      <c r="K68" s="17"/>
      <c r="M68" s="17"/>
      <c r="N68" s="25"/>
      <c r="O68" s="26"/>
      <c r="P68" s="27"/>
      <c r="Q68" s="12"/>
      <c r="R68" s="17"/>
      <c r="S68" s="17"/>
      <c r="T68" s="17"/>
    </row>
    <row r="69" spans="1:20" ht="16.2" thickBot="1" x14ac:dyDescent="0.35">
      <c r="E69" s="63" t="s">
        <v>293</v>
      </c>
      <c r="F69" s="63"/>
      <c r="G69" s="63"/>
      <c r="H69" s="63"/>
      <c r="I69" s="63"/>
      <c r="J69" s="63"/>
      <c r="K69" s="63"/>
      <c r="N69" s="63" t="s">
        <v>307</v>
      </c>
      <c r="O69" s="63"/>
      <c r="P69" s="63"/>
      <c r="Q69" s="63"/>
      <c r="R69" s="63"/>
      <c r="S69" s="63"/>
      <c r="T69" s="63"/>
    </row>
    <row r="70" spans="1:20" x14ac:dyDescent="0.25">
      <c r="D70" s="18">
        <v>43830</v>
      </c>
    </row>
    <row r="71" spans="1:20" x14ac:dyDescent="0.25">
      <c r="D71" s="9" t="s">
        <v>2</v>
      </c>
      <c r="K71" s="9" t="s">
        <v>3</v>
      </c>
      <c r="T71" s="9" t="s">
        <v>3</v>
      </c>
    </row>
    <row r="72" spans="1:20" x14ac:dyDescent="0.25">
      <c r="C72" s="9" t="s">
        <v>4</v>
      </c>
      <c r="D72" s="9" t="s">
        <v>5</v>
      </c>
      <c r="F72" s="9" t="s">
        <v>29</v>
      </c>
      <c r="G72" s="9" t="s">
        <v>30</v>
      </c>
      <c r="H72" s="9" t="s">
        <v>31</v>
      </c>
      <c r="I72" s="9" t="s">
        <v>6</v>
      </c>
      <c r="J72" s="9" t="s">
        <v>7</v>
      </c>
      <c r="K72" s="9" t="s">
        <v>8</v>
      </c>
      <c r="M72" s="9"/>
      <c r="O72" s="9" t="s">
        <v>29</v>
      </c>
      <c r="P72" s="9" t="s">
        <v>30</v>
      </c>
      <c r="Q72" s="9" t="s">
        <v>31</v>
      </c>
      <c r="R72" s="9" t="s">
        <v>6</v>
      </c>
      <c r="S72" s="9" t="s">
        <v>7</v>
      </c>
      <c r="T72" s="9" t="s">
        <v>8</v>
      </c>
    </row>
    <row r="73" spans="1:20" x14ac:dyDescent="0.25">
      <c r="A73" s="6" t="s">
        <v>33</v>
      </c>
      <c r="B73" s="6" t="s">
        <v>34</v>
      </c>
      <c r="C73" s="6" t="s">
        <v>294</v>
      </c>
      <c r="D73" s="6" t="s">
        <v>9</v>
      </c>
      <c r="E73" s="6" t="s">
        <v>35</v>
      </c>
      <c r="F73" s="6" t="s">
        <v>36</v>
      </c>
      <c r="G73" s="6" t="s">
        <v>37</v>
      </c>
      <c r="H73" s="6" t="s">
        <v>41</v>
      </c>
      <c r="I73" s="6" t="s">
        <v>10</v>
      </c>
      <c r="J73" s="6" t="s">
        <v>11</v>
      </c>
      <c r="K73" s="6" t="s">
        <v>11</v>
      </c>
      <c r="L73" s="7"/>
      <c r="M73" s="6"/>
      <c r="N73" s="6" t="s">
        <v>35</v>
      </c>
      <c r="O73" s="6" t="s">
        <v>36</v>
      </c>
      <c r="P73" s="6" t="s">
        <v>37</v>
      </c>
      <c r="Q73" s="6" t="s">
        <v>41</v>
      </c>
      <c r="R73" s="6" t="s">
        <v>10</v>
      </c>
      <c r="S73" s="6" t="s">
        <v>11</v>
      </c>
      <c r="T73" s="6" t="s">
        <v>11</v>
      </c>
    </row>
    <row r="74" spans="1:20" x14ac:dyDescent="0.25">
      <c r="A74" s="9"/>
      <c r="C74" s="17"/>
      <c r="D74" s="17"/>
      <c r="E74" s="25"/>
      <c r="F74" s="26"/>
      <c r="G74" s="27"/>
      <c r="H74" s="12"/>
      <c r="I74" s="17"/>
      <c r="J74" s="17"/>
      <c r="K74" s="17"/>
      <c r="M74" s="17"/>
      <c r="N74" s="25"/>
      <c r="O74" s="26"/>
      <c r="P74" s="27"/>
      <c r="Q74" s="12"/>
      <c r="R74" s="17"/>
      <c r="S74" s="17"/>
      <c r="T74" s="17"/>
    </row>
    <row r="75" spans="1:20" x14ac:dyDescent="0.25">
      <c r="A75" s="9" t="s">
        <v>178</v>
      </c>
      <c r="B75" s="8" t="s">
        <v>179</v>
      </c>
      <c r="C75" s="17">
        <v>14408351.199999999</v>
      </c>
      <c r="D75" s="17">
        <v>4606491</v>
      </c>
      <c r="E75" s="25">
        <v>30</v>
      </c>
      <c r="F75" s="26" t="s">
        <v>163</v>
      </c>
      <c r="G75" s="27" t="s">
        <v>121</v>
      </c>
      <c r="H75" s="12">
        <v>3.3300000000000003E-2</v>
      </c>
      <c r="I75" s="17">
        <f>ROUND((C75*H75),0)</f>
        <v>479798</v>
      </c>
      <c r="J75" s="17">
        <v>6661674.0499999998</v>
      </c>
      <c r="K75" s="17">
        <f>D75-J75</f>
        <v>-2055183.0499999998</v>
      </c>
      <c r="M75" s="17"/>
      <c r="N75" s="25">
        <v>25</v>
      </c>
      <c r="O75" s="26" t="s">
        <v>163</v>
      </c>
      <c r="P75" s="27">
        <v>0</v>
      </c>
      <c r="Q75" s="12">
        <v>4.0000022845406845E-2</v>
      </c>
      <c r="R75" s="17">
        <f>C75*Q75</f>
        <v>576334.37716464512</v>
      </c>
      <c r="S75" s="17">
        <v>5539848</v>
      </c>
      <c r="T75" s="17">
        <f>D75-S75</f>
        <v>-933357</v>
      </c>
    </row>
    <row r="76" spans="1:20" x14ac:dyDescent="0.25">
      <c r="A76" s="9"/>
      <c r="C76" s="17">
        <v>2229422</v>
      </c>
      <c r="D76" s="17">
        <v>2229422</v>
      </c>
      <c r="E76" s="25"/>
      <c r="F76" s="26"/>
      <c r="G76" s="27"/>
      <c r="H76" s="12"/>
      <c r="I76" s="17"/>
      <c r="J76" s="17"/>
      <c r="K76" s="17"/>
      <c r="M76" s="17"/>
      <c r="N76" s="25"/>
      <c r="O76" s="26"/>
      <c r="P76" s="27"/>
      <c r="Q76" s="12"/>
      <c r="R76" s="17">
        <f>C76*Q76</f>
        <v>0</v>
      </c>
      <c r="S76" s="17">
        <v>2229422</v>
      </c>
      <c r="T76" s="17">
        <f>D76-S76</f>
        <v>0</v>
      </c>
    </row>
    <row r="77" spans="1:20" x14ac:dyDescent="0.25">
      <c r="C77" s="17"/>
      <c r="D77" s="17"/>
      <c r="E77" s="25"/>
      <c r="F77" s="26"/>
      <c r="G77" s="27"/>
      <c r="H77" s="12"/>
      <c r="I77" s="17"/>
      <c r="J77" s="17"/>
      <c r="K77" s="17"/>
      <c r="M77" s="17"/>
      <c r="N77" s="25"/>
      <c r="O77" s="26"/>
      <c r="P77" s="27"/>
      <c r="Q77" s="12"/>
      <c r="R77" s="17"/>
      <c r="S77" s="17"/>
      <c r="T77" s="17"/>
    </row>
    <row r="78" spans="1:20" x14ac:dyDescent="0.25">
      <c r="A78" s="9" t="s">
        <v>180</v>
      </c>
      <c r="B78" s="8" t="s">
        <v>181</v>
      </c>
      <c r="C78" s="17">
        <v>195770</v>
      </c>
      <c r="D78" s="17">
        <v>-231037</v>
      </c>
      <c r="E78" s="25">
        <v>35</v>
      </c>
      <c r="F78" s="26" t="s">
        <v>163</v>
      </c>
      <c r="G78" s="27" t="s">
        <v>121</v>
      </c>
      <c r="H78" s="12">
        <v>2.86E-2</v>
      </c>
      <c r="I78" s="17">
        <f>ROUND((C78*H78),0)</f>
        <v>5599</v>
      </c>
      <c r="J78" s="17">
        <v>1032885.67</v>
      </c>
      <c r="K78" s="17">
        <f>D78-J78</f>
        <v>-1263922.67</v>
      </c>
      <c r="M78" s="17"/>
      <c r="N78" s="25">
        <v>20</v>
      </c>
      <c r="O78" s="26" t="s">
        <v>163</v>
      </c>
      <c r="P78" s="27">
        <v>0</v>
      </c>
      <c r="Q78" s="12">
        <v>4.9999474927802573E-2</v>
      </c>
      <c r="R78" s="17">
        <f>C78*Q78</f>
        <v>9788.3972066159095</v>
      </c>
      <c r="S78" s="17">
        <v>117958</v>
      </c>
      <c r="T78" s="17">
        <f>D78-S78</f>
        <v>-348995</v>
      </c>
    </row>
    <row r="79" spans="1:20" x14ac:dyDescent="0.25">
      <c r="A79" s="9"/>
      <c r="C79" s="17">
        <v>1282130</v>
      </c>
      <c r="D79" s="17">
        <v>1282130</v>
      </c>
      <c r="E79" s="25"/>
      <c r="F79" s="26"/>
      <c r="G79" s="27"/>
      <c r="H79" s="12"/>
      <c r="I79" s="17"/>
      <c r="J79" s="17"/>
      <c r="K79" s="17"/>
      <c r="M79" s="17"/>
      <c r="N79" s="25"/>
      <c r="O79" s="26"/>
      <c r="P79" s="27"/>
      <c r="Q79" s="12"/>
      <c r="R79" s="17">
        <f>C79*Q79</f>
        <v>0</v>
      </c>
      <c r="S79" s="17">
        <v>1282130</v>
      </c>
      <c r="T79" s="17">
        <f>D79-S79</f>
        <v>0</v>
      </c>
    </row>
    <row r="80" spans="1:20" x14ac:dyDescent="0.25">
      <c r="A80" s="9"/>
      <c r="C80" s="17"/>
      <c r="D80" s="17"/>
      <c r="E80" s="25"/>
      <c r="F80" s="26"/>
      <c r="G80" s="27"/>
      <c r="H80" s="12"/>
      <c r="I80" s="17"/>
      <c r="J80" s="17"/>
      <c r="K80" s="17"/>
      <c r="M80" s="17"/>
      <c r="N80" s="25"/>
      <c r="O80" s="26"/>
      <c r="P80" s="27"/>
      <c r="Q80" s="12"/>
      <c r="R80" s="17"/>
      <c r="S80" s="17"/>
      <c r="T80" s="17"/>
    </row>
    <row r="81" spans="1:20" x14ac:dyDescent="0.25">
      <c r="A81" s="9" t="s">
        <v>182</v>
      </c>
      <c r="B81" s="8" t="s">
        <v>183</v>
      </c>
      <c r="C81" s="17">
        <v>3550</v>
      </c>
      <c r="D81" s="17">
        <v>203</v>
      </c>
      <c r="E81" s="25">
        <v>35</v>
      </c>
      <c r="F81" s="26" t="s">
        <v>163</v>
      </c>
      <c r="G81" s="27" t="s">
        <v>121</v>
      </c>
      <c r="H81" s="12">
        <v>2.86E-2</v>
      </c>
      <c r="I81" s="17">
        <f>ROUND((C81*H81),0)</f>
        <v>102</v>
      </c>
      <c r="J81" s="17">
        <v>3397.86</v>
      </c>
      <c r="K81" s="17">
        <f>D81-J81</f>
        <v>-3194.86</v>
      </c>
      <c r="M81" s="17"/>
      <c r="N81" s="25">
        <v>0</v>
      </c>
      <c r="O81" s="26" t="s">
        <v>163</v>
      </c>
      <c r="P81" s="27">
        <v>0</v>
      </c>
      <c r="Q81" s="12">
        <v>0</v>
      </c>
      <c r="R81" s="17">
        <f>C81*Q81</f>
        <v>0</v>
      </c>
      <c r="S81" s="17">
        <v>3550</v>
      </c>
      <c r="T81" s="17">
        <f>D81-S81</f>
        <v>-3347</v>
      </c>
    </row>
    <row r="82" spans="1:20" x14ac:dyDescent="0.25">
      <c r="C82" s="17"/>
      <c r="D82" s="17"/>
      <c r="E82" s="25"/>
      <c r="F82" s="26"/>
      <c r="G82" s="27"/>
      <c r="H82" s="12"/>
      <c r="I82" s="17"/>
      <c r="J82" s="17"/>
      <c r="K82" s="17"/>
      <c r="M82" s="17"/>
      <c r="N82" s="25"/>
      <c r="O82" s="26"/>
      <c r="P82" s="27"/>
      <c r="Q82" s="12"/>
      <c r="R82" s="17"/>
      <c r="S82" s="17"/>
      <c r="T82" s="17"/>
    </row>
    <row r="83" spans="1:20" x14ac:dyDescent="0.25">
      <c r="A83" s="9" t="s">
        <v>184</v>
      </c>
      <c r="B83" s="8" t="s">
        <v>185</v>
      </c>
      <c r="C83" s="17">
        <v>25124536.5</v>
      </c>
      <c r="D83" s="17">
        <v>2883447</v>
      </c>
      <c r="E83" s="25">
        <v>20</v>
      </c>
      <c r="F83" s="26" t="s">
        <v>163</v>
      </c>
      <c r="G83" s="27" t="s">
        <v>121</v>
      </c>
      <c r="H83" s="12">
        <v>0.05</v>
      </c>
      <c r="I83" s="17">
        <f>ROUND((C83*H83),0)</f>
        <v>1256227</v>
      </c>
      <c r="J83" s="17">
        <v>4092015.48</v>
      </c>
      <c r="K83" s="17">
        <f>D83-J83</f>
        <v>-1208568.48</v>
      </c>
      <c r="M83" s="17"/>
      <c r="N83" s="25">
        <v>10</v>
      </c>
      <c r="O83" s="26" t="s">
        <v>163</v>
      </c>
      <c r="P83" s="27">
        <v>0</v>
      </c>
      <c r="Q83" s="12">
        <v>9.9999950522384667E-2</v>
      </c>
      <c r="R83" s="17">
        <f>C83*Q83</f>
        <v>2512452.4068978475</v>
      </c>
      <c r="S83" s="17">
        <v>5378153</v>
      </c>
      <c r="T83" s="17">
        <f>D83-S83</f>
        <v>-2494706</v>
      </c>
    </row>
    <row r="84" spans="1:20" x14ac:dyDescent="0.25">
      <c r="A84" s="9"/>
      <c r="C84" s="17">
        <v>1800057</v>
      </c>
      <c r="D84" s="17">
        <v>1800057</v>
      </c>
      <c r="E84" s="25"/>
      <c r="F84" s="26"/>
      <c r="G84" s="27"/>
      <c r="H84" s="12"/>
      <c r="I84" s="17"/>
      <c r="J84" s="17"/>
      <c r="K84" s="17"/>
      <c r="M84" s="17"/>
      <c r="N84" s="25"/>
      <c r="O84" s="26"/>
      <c r="P84" s="27"/>
      <c r="Q84" s="12"/>
      <c r="R84" s="17">
        <f>C84*Q84</f>
        <v>0</v>
      </c>
      <c r="S84" s="17">
        <v>1800057</v>
      </c>
      <c r="T84" s="17">
        <f>D84-S84</f>
        <v>0</v>
      </c>
    </row>
    <row r="85" spans="1:20" x14ac:dyDescent="0.25">
      <c r="C85" s="17"/>
      <c r="D85" s="17"/>
      <c r="E85" s="25"/>
      <c r="F85" s="26"/>
      <c r="G85" s="27"/>
      <c r="H85" s="12"/>
      <c r="I85" s="17"/>
      <c r="J85" s="17"/>
      <c r="K85" s="17"/>
      <c r="M85" s="17"/>
      <c r="N85" s="25"/>
      <c r="O85" s="26"/>
      <c r="P85" s="27"/>
      <c r="Q85" s="12"/>
      <c r="R85" s="17"/>
      <c r="S85" s="17"/>
      <c r="T85" s="17"/>
    </row>
    <row r="86" spans="1:20" x14ac:dyDescent="0.25">
      <c r="A86" s="9" t="s">
        <v>186</v>
      </c>
      <c r="B86" s="8" t="s">
        <v>187</v>
      </c>
      <c r="C86" s="17">
        <v>1350851</v>
      </c>
      <c r="D86" s="17">
        <v>838634</v>
      </c>
      <c r="E86" s="25">
        <v>10</v>
      </c>
      <c r="F86" s="26" t="s">
        <v>163</v>
      </c>
      <c r="G86" s="27" t="s">
        <v>121</v>
      </c>
      <c r="H86" s="12">
        <v>0.1</v>
      </c>
      <c r="I86" s="17">
        <f>ROUND((C86*H86),0)</f>
        <v>135085</v>
      </c>
      <c r="J86" s="17">
        <v>818879.21</v>
      </c>
      <c r="K86" s="17">
        <f>D86-J86</f>
        <v>19754.790000000037</v>
      </c>
      <c r="M86" s="17"/>
      <c r="N86" s="25">
        <v>10</v>
      </c>
      <c r="O86" s="26" t="s">
        <v>163</v>
      </c>
      <c r="P86" s="27">
        <v>0</v>
      </c>
      <c r="Q86" s="12">
        <v>0.10000007033986111</v>
      </c>
      <c r="R86" s="17">
        <f>C86*Q86</f>
        <v>135085.19501867171</v>
      </c>
      <c r="S86" s="17">
        <v>818881</v>
      </c>
      <c r="T86" s="17">
        <f>D86-S86</f>
        <v>19753</v>
      </c>
    </row>
    <row r="87" spans="1:20" x14ac:dyDescent="0.25">
      <c r="C87" s="17"/>
      <c r="D87" s="17"/>
      <c r="E87" s="25"/>
      <c r="F87" s="26"/>
      <c r="G87" s="27"/>
      <c r="H87" s="12"/>
      <c r="I87" s="17"/>
      <c r="J87" s="17"/>
      <c r="K87" s="17"/>
      <c r="M87" s="17"/>
      <c r="N87" s="25"/>
      <c r="O87" s="26"/>
      <c r="P87" s="27"/>
      <c r="Q87" s="12"/>
      <c r="R87" s="17"/>
      <c r="S87" s="17"/>
      <c r="T87" s="17"/>
    </row>
    <row r="88" spans="1:20" x14ac:dyDescent="0.25">
      <c r="A88" s="9" t="s">
        <v>188</v>
      </c>
      <c r="B88" s="8" t="s">
        <v>189</v>
      </c>
      <c r="C88" s="17">
        <v>261594.73</v>
      </c>
      <c r="D88" s="17">
        <v>81268</v>
      </c>
      <c r="E88" s="25">
        <v>30</v>
      </c>
      <c r="F88" s="26" t="s">
        <v>163</v>
      </c>
      <c r="G88" s="27" t="s">
        <v>121</v>
      </c>
      <c r="H88" s="12">
        <v>3.3300000000000003E-2</v>
      </c>
      <c r="I88" s="17">
        <f>ROUND((C88*H88),0)</f>
        <v>8711</v>
      </c>
      <c r="J88" s="17">
        <v>167656.14000000001</v>
      </c>
      <c r="K88" s="17">
        <f>D88-J88</f>
        <v>-86388.140000000014</v>
      </c>
      <c r="M88" s="17"/>
      <c r="N88" s="25">
        <v>20</v>
      </c>
      <c r="O88" s="26" t="s">
        <v>163</v>
      </c>
      <c r="P88" s="27">
        <v>0</v>
      </c>
      <c r="Q88" s="12">
        <v>5.000153338619865E-2</v>
      </c>
      <c r="R88" s="17">
        <f>C88*Q88</f>
        <v>13080.137625748623</v>
      </c>
      <c r="S88" s="17">
        <v>142001</v>
      </c>
      <c r="T88" s="17">
        <f>D88-S88</f>
        <v>-60733</v>
      </c>
    </row>
    <row r="89" spans="1:20" x14ac:dyDescent="0.25">
      <c r="A89" s="9"/>
      <c r="B89" s="28" t="s">
        <v>277</v>
      </c>
      <c r="C89" s="17">
        <v>87875</v>
      </c>
      <c r="D89" s="17">
        <v>87875</v>
      </c>
      <c r="E89" s="25"/>
      <c r="F89" s="26"/>
      <c r="G89" s="27"/>
      <c r="H89" s="12"/>
      <c r="I89" s="17"/>
      <c r="J89" s="17"/>
      <c r="K89" s="17"/>
      <c r="M89" s="17"/>
      <c r="N89" s="25"/>
      <c r="O89" s="26"/>
      <c r="P89" s="27"/>
      <c r="Q89" s="12" t="s">
        <v>277</v>
      </c>
      <c r="R89" s="17" t="s">
        <v>277</v>
      </c>
      <c r="S89" s="17">
        <v>87875</v>
      </c>
      <c r="T89" s="17">
        <f>D89-S89</f>
        <v>0</v>
      </c>
    </row>
    <row r="90" spans="1:20" x14ac:dyDescent="0.25">
      <c r="C90" s="29"/>
      <c r="D90" s="29"/>
      <c r="E90" s="29"/>
      <c r="F90" s="29"/>
      <c r="G90" s="29"/>
      <c r="H90" s="29"/>
      <c r="I90" s="29"/>
      <c r="J90" s="29"/>
      <c r="K90" s="29"/>
      <c r="M90" s="29"/>
      <c r="N90" s="29"/>
      <c r="O90" s="29"/>
      <c r="P90" s="29"/>
      <c r="Q90" s="13"/>
      <c r="R90" s="29"/>
      <c r="S90" s="29"/>
      <c r="T90" s="29"/>
    </row>
    <row r="91" spans="1:20" x14ac:dyDescent="0.25">
      <c r="B91" s="8" t="s">
        <v>190</v>
      </c>
      <c r="C91" s="17">
        <f>SUM(C38:C89)</f>
        <v>72911217.770000011</v>
      </c>
      <c r="D91" s="17">
        <f>SUM(D38:D59)+SUM(D75:D89)</f>
        <v>28290413</v>
      </c>
      <c r="E91" s="25"/>
      <c r="F91" s="26"/>
      <c r="G91" s="30"/>
      <c r="H91" s="10"/>
      <c r="I91" s="17">
        <f>SUM(I38:I89)</f>
        <v>3248381</v>
      </c>
      <c r="J91" s="17">
        <f>SUM(J38:J89)</f>
        <v>26754056.420000002</v>
      </c>
      <c r="K91" s="17">
        <f>SUM(K38:K89)</f>
        <v>-15244380.419999998</v>
      </c>
      <c r="M91" s="17"/>
      <c r="N91" s="9"/>
      <c r="O91" s="9"/>
      <c r="P91" s="9"/>
      <c r="Q91" s="12"/>
      <c r="R91" s="17">
        <f>SUM(R38:R89)</f>
        <v>5316397.1617950182</v>
      </c>
      <c r="S91" s="17">
        <f>SUM(S38:S89)</f>
        <v>35316700</v>
      </c>
      <c r="T91" s="17">
        <f>SUM(T38:T89)</f>
        <v>-7026287</v>
      </c>
    </row>
    <row r="92" spans="1:20" x14ac:dyDescent="0.25">
      <c r="C92" s="17"/>
      <c r="D92" s="17"/>
      <c r="E92" s="25"/>
      <c r="F92" s="26"/>
      <c r="G92" s="30"/>
      <c r="H92" s="10"/>
      <c r="I92" s="17"/>
      <c r="J92" s="17"/>
      <c r="K92" s="17"/>
      <c r="M92" s="17"/>
      <c r="N92" s="9"/>
      <c r="O92" s="9"/>
      <c r="P92" s="9"/>
      <c r="Q92" s="12"/>
      <c r="R92" s="17"/>
      <c r="S92" s="17"/>
      <c r="T92" s="17"/>
    </row>
    <row r="93" spans="1:20" x14ac:dyDescent="0.25">
      <c r="B93" s="8" t="s">
        <v>284</v>
      </c>
      <c r="C93" s="17">
        <f>C27+C91</f>
        <v>227057043.96000001</v>
      </c>
      <c r="D93" s="17">
        <f>D27+D91</f>
        <v>80241847</v>
      </c>
      <c r="H93" s="10"/>
      <c r="I93" s="17">
        <f>I27+I91</f>
        <v>11611750</v>
      </c>
      <c r="J93" s="17">
        <f>J27+J91</f>
        <v>71842206.420000002</v>
      </c>
      <c r="K93" s="17">
        <f>K27+K91</f>
        <v>-8381096.4199999962</v>
      </c>
      <c r="M93" s="17"/>
      <c r="P93" s="9"/>
      <c r="Q93" s="12"/>
      <c r="R93" s="17">
        <f>R27+R91</f>
        <v>12921300.038435519</v>
      </c>
      <c r="S93" s="17">
        <f>S27+S91</f>
        <v>82473991</v>
      </c>
      <c r="T93" s="17">
        <f>T27+T91</f>
        <v>-2232144</v>
      </c>
    </row>
    <row r="94" spans="1:20" x14ac:dyDescent="0.25">
      <c r="C94" s="17"/>
      <c r="D94" s="17"/>
      <c r="H94" s="10"/>
      <c r="I94" s="17"/>
      <c r="J94" s="17"/>
      <c r="K94" s="17"/>
      <c r="M94" s="17"/>
      <c r="P94" s="9"/>
      <c r="Q94" s="12"/>
    </row>
    <row r="95" spans="1:20" x14ac:dyDescent="0.25">
      <c r="A95" s="9" t="s">
        <v>255</v>
      </c>
      <c r="B95" s="8" t="s">
        <v>260</v>
      </c>
      <c r="C95" s="17">
        <v>33448023</v>
      </c>
      <c r="D95" s="17">
        <v>20106825</v>
      </c>
      <c r="E95" s="9">
        <v>5</v>
      </c>
      <c r="F95" s="26" t="s">
        <v>163</v>
      </c>
      <c r="G95" s="27">
        <v>0</v>
      </c>
      <c r="H95" s="12">
        <v>0.2</v>
      </c>
      <c r="I95" s="17">
        <f>5000786.12-I97</f>
        <v>4186074.21</v>
      </c>
      <c r="J95" s="17">
        <v>20106825</v>
      </c>
      <c r="K95" s="17">
        <f>D95-J95</f>
        <v>0</v>
      </c>
      <c r="M95" s="17"/>
      <c r="N95" s="9">
        <v>5</v>
      </c>
      <c r="O95" s="26" t="s">
        <v>163</v>
      </c>
      <c r="P95" s="27">
        <v>0</v>
      </c>
      <c r="Q95" s="12">
        <v>0.2</v>
      </c>
      <c r="R95" s="17">
        <f>C95*Q95</f>
        <v>6689604.6000000006</v>
      </c>
      <c r="S95" s="17">
        <v>20106825</v>
      </c>
      <c r="T95" s="17">
        <f>D95-S95</f>
        <v>0</v>
      </c>
    </row>
    <row r="96" spans="1:20" x14ac:dyDescent="0.25">
      <c r="A96" s="9"/>
      <c r="C96" s="17"/>
      <c r="D96" s="17"/>
      <c r="G96" s="9"/>
      <c r="H96" s="12"/>
      <c r="I96" s="17"/>
      <c r="J96" s="17"/>
      <c r="K96" s="17"/>
      <c r="M96" s="17"/>
      <c r="P96" s="9"/>
      <c r="Q96" s="12"/>
      <c r="R96" s="17">
        <f>C96*Q96</f>
        <v>0</v>
      </c>
      <c r="S96" s="17"/>
      <c r="T96" s="17"/>
    </row>
    <row r="97" spans="1:20" x14ac:dyDescent="0.25">
      <c r="A97" s="9" t="s">
        <v>257</v>
      </c>
      <c r="B97" s="8" t="s">
        <v>261</v>
      </c>
      <c r="C97" s="17">
        <v>8146897</v>
      </c>
      <c r="D97" s="17">
        <v>960907.2</v>
      </c>
      <c r="E97" s="9">
        <v>10</v>
      </c>
      <c r="F97" s="26" t="s">
        <v>163</v>
      </c>
      <c r="G97" s="27">
        <v>0</v>
      </c>
      <c r="H97" s="12">
        <v>0.1</v>
      </c>
      <c r="I97" s="17">
        <v>814711.91</v>
      </c>
      <c r="J97" s="17">
        <v>960907</v>
      </c>
      <c r="K97" s="17">
        <f>D97-J97</f>
        <v>0.19999999995343387</v>
      </c>
      <c r="M97" s="17"/>
      <c r="N97" s="9">
        <v>10</v>
      </c>
      <c r="O97" s="26" t="s">
        <v>163</v>
      </c>
      <c r="P97" s="27">
        <v>0</v>
      </c>
      <c r="Q97" s="12">
        <v>0.1</v>
      </c>
      <c r="R97" s="17">
        <f>C97*Q97</f>
        <v>814689.70000000007</v>
      </c>
      <c r="S97" s="17">
        <v>960907</v>
      </c>
      <c r="T97" s="17">
        <f>D97-S97</f>
        <v>0.19999999995343387</v>
      </c>
    </row>
    <row r="98" spans="1:20" x14ac:dyDescent="0.25">
      <c r="A98" s="9"/>
      <c r="C98" s="17"/>
      <c r="D98" s="17"/>
      <c r="E98" s="9"/>
      <c r="G98" s="27"/>
      <c r="H98" s="10"/>
      <c r="I98" s="17"/>
      <c r="J98" s="17"/>
      <c r="K98" s="17"/>
      <c r="M98" s="17"/>
      <c r="N98" s="9"/>
      <c r="P98" s="27"/>
      <c r="Q98" s="12"/>
      <c r="R98" s="17"/>
      <c r="S98" s="17"/>
      <c r="T98" s="17"/>
    </row>
    <row r="99" spans="1:20" x14ac:dyDescent="0.25">
      <c r="A99" s="9" t="s">
        <v>258</v>
      </c>
      <c r="B99" s="8" t="s">
        <v>262</v>
      </c>
      <c r="C99" s="20">
        <v>0</v>
      </c>
      <c r="D99" s="20">
        <v>0</v>
      </c>
      <c r="E99" s="22">
        <v>3</v>
      </c>
      <c r="F99" s="31" t="s">
        <v>163</v>
      </c>
      <c r="G99" s="32">
        <v>0</v>
      </c>
      <c r="H99" s="24">
        <v>3.3333333333333333E-2</v>
      </c>
      <c r="I99" s="20">
        <v>0</v>
      </c>
      <c r="J99" s="20">
        <v>0</v>
      </c>
      <c r="K99" s="20">
        <f>D99-J99</f>
        <v>0</v>
      </c>
      <c r="M99" s="20"/>
      <c r="N99" s="22">
        <v>3</v>
      </c>
      <c r="O99" s="31" t="s">
        <v>163</v>
      </c>
      <c r="P99" s="32">
        <v>0</v>
      </c>
      <c r="Q99" s="24">
        <v>0.33329999999999999</v>
      </c>
      <c r="R99" s="20">
        <f>C99*Q99</f>
        <v>0</v>
      </c>
      <c r="S99" s="20">
        <v>0</v>
      </c>
      <c r="T99" s="20">
        <f>D99-S99</f>
        <v>0</v>
      </c>
    </row>
    <row r="100" spans="1:20" x14ac:dyDescent="0.25">
      <c r="C100" s="17"/>
      <c r="D100" s="17"/>
      <c r="H100" s="10"/>
      <c r="I100" s="17"/>
      <c r="J100" s="17"/>
      <c r="K100" s="17"/>
      <c r="M100" s="17"/>
      <c r="P100" s="9"/>
      <c r="Q100" s="12"/>
    </row>
    <row r="101" spans="1:20" x14ac:dyDescent="0.25">
      <c r="B101" s="8" t="s">
        <v>259</v>
      </c>
      <c r="C101" s="17">
        <f>SUM(C95:C99)</f>
        <v>41594920</v>
      </c>
      <c r="D101" s="17">
        <f>SUM(D95:D99)</f>
        <v>21067732.199999999</v>
      </c>
      <c r="H101" s="10"/>
      <c r="I101" s="17">
        <f>SUM(I95:I99)</f>
        <v>5000786.12</v>
      </c>
      <c r="J101" s="17">
        <f>SUM(J95:J99)</f>
        <v>21067732</v>
      </c>
      <c r="K101" s="17">
        <f>SUM(K95:K99)</f>
        <v>0.19999999995343387</v>
      </c>
      <c r="M101" s="17"/>
      <c r="P101" s="9"/>
      <c r="Q101" s="12"/>
      <c r="R101" s="17">
        <f>SUM(R95:R99)</f>
        <v>7504294.3000000007</v>
      </c>
      <c r="S101" s="17">
        <f>SUM(S95:S99)</f>
        <v>21067732</v>
      </c>
      <c r="T101" s="17">
        <f>SUM(T95:T99)</f>
        <v>0.19999999995343387</v>
      </c>
    </row>
    <row r="102" spans="1:20" x14ac:dyDescent="0.25">
      <c r="C102" s="17"/>
      <c r="D102" s="17"/>
      <c r="H102" s="10"/>
      <c r="I102" s="17"/>
      <c r="J102" s="17"/>
      <c r="K102" s="17"/>
      <c r="M102" s="17"/>
      <c r="P102" s="9"/>
      <c r="Q102" s="12"/>
    </row>
    <row r="103" spans="1:20" ht="15.6" x14ac:dyDescent="0.3">
      <c r="B103" s="4" t="s">
        <v>191</v>
      </c>
      <c r="C103" s="17">
        <f>C91+C27+C101</f>
        <v>268651963.96000004</v>
      </c>
      <c r="D103" s="17">
        <f>D91+D27+D101</f>
        <v>101309579.2</v>
      </c>
      <c r="H103" s="10"/>
      <c r="I103" s="17">
        <f>I91+I27+I101</f>
        <v>16612536.120000001</v>
      </c>
      <c r="J103" s="17">
        <f>J91+J27+J101</f>
        <v>92909938.420000002</v>
      </c>
      <c r="K103" s="17">
        <f>K91+K27+K101</f>
        <v>-8381096.219999996</v>
      </c>
      <c r="M103" s="17"/>
      <c r="P103" s="9"/>
      <c r="Q103" s="12"/>
      <c r="R103" s="17">
        <f>R91+R27+R101</f>
        <v>20425594.338435519</v>
      </c>
      <c r="S103" s="17">
        <f>S91+S27+S101</f>
        <v>103541723</v>
      </c>
      <c r="T103" s="17">
        <f>T91+T27+T101</f>
        <v>-2232143.7999999998</v>
      </c>
    </row>
    <row r="104" spans="1:20" x14ac:dyDescent="0.25">
      <c r="C104" s="17"/>
      <c r="D104" s="17"/>
      <c r="H104" s="10"/>
      <c r="I104" s="17"/>
      <c r="J104" s="17"/>
      <c r="K104" s="17"/>
      <c r="P104" s="9"/>
      <c r="Q104" s="12"/>
    </row>
    <row r="105" spans="1:20" ht="15.6" x14ac:dyDescent="0.3">
      <c r="A105" s="4"/>
      <c r="C105" s="17"/>
      <c r="D105" s="17"/>
      <c r="H105" s="10"/>
      <c r="I105" s="17"/>
      <c r="J105" s="17"/>
      <c r="K105" s="17"/>
      <c r="P105" s="9"/>
      <c r="Q105" s="12"/>
    </row>
    <row r="106" spans="1:20" x14ac:dyDescent="0.25">
      <c r="A106" s="8" t="s">
        <v>276</v>
      </c>
      <c r="C106" s="17"/>
      <c r="D106" s="17"/>
      <c r="H106" s="10"/>
      <c r="I106" s="17"/>
      <c r="J106" s="17"/>
      <c r="K106" s="17"/>
      <c r="P106" s="9"/>
      <c r="Q106" s="12"/>
    </row>
    <row r="107" spans="1:20" x14ac:dyDescent="0.25">
      <c r="A107" s="33"/>
      <c r="C107" s="17"/>
      <c r="D107" s="17"/>
      <c r="H107" s="10"/>
      <c r="I107" s="17"/>
      <c r="J107" s="17"/>
      <c r="K107" s="17"/>
      <c r="P107" s="9"/>
      <c r="Q107" s="12"/>
    </row>
    <row r="108" spans="1:20" x14ac:dyDescent="0.25">
      <c r="C108" s="17"/>
      <c r="D108" s="17"/>
      <c r="H108" s="10"/>
      <c r="I108" s="17"/>
      <c r="J108" s="17"/>
      <c r="K108" s="17"/>
      <c r="P108" s="9"/>
    </row>
    <row r="109" spans="1:20" x14ac:dyDescent="0.25">
      <c r="C109" s="17"/>
      <c r="D109" s="17"/>
      <c r="H109" s="10"/>
      <c r="I109" s="17"/>
      <c r="J109" s="17"/>
      <c r="K109" s="17"/>
      <c r="P109" s="9"/>
    </row>
    <row r="110" spans="1:20" x14ac:dyDescent="0.25">
      <c r="C110" s="17"/>
      <c r="D110" s="17"/>
      <c r="H110" s="10"/>
      <c r="I110" s="17"/>
      <c r="J110" s="17"/>
      <c r="K110" s="17"/>
      <c r="P110" s="9"/>
    </row>
    <row r="111" spans="1:20" x14ac:dyDescent="0.25">
      <c r="C111" s="17"/>
      <c r="D111" s="17"/>
      <c r="H111" s="10"/>
      <c r="I111" s="17"/>
      <c r="J111" s="17"/>
      <c r="K111" s="17"/>
    </row>
    <row r="112" spans="1:20" x14ac:dyDescent="0.25">
      <c r="C112" s="17"/>
      <c r="D112" s="17"/>
      <c r="H112" s="10"/>
      <c r="I112" s="17"/>
      <c r="J112" s="17"/>
      <c r="K112" s="17"/>
    </row>
    <row r="113" spans="3:11" x14ac:dyDescent="0.25">
      <c r="C113" s="17"/>
      <c r="D113" s="17"/>
      <c r="H113" s="10"/>
      <c r="I113" s="17"/>
      <c r="J113" s="17"/>
      <c r="K113" s="17"/>
    </row>
    <row r="114" spans="3:11" x14ac:dyDescent="0.25">
      <c r="C114" s="17"/>
      <c r="D114" s="17"/>
      <c r="H114" s="10"/>
      <c r="I114" s="17"/>
      <c r="J114" s="17"/>
      <c r="K114" s="17"/>
    </row>
    <row r="115" spans="3:11" x14ac:dyDescent="0.25">
      <c r="C115" s="17"/>
      <c r="D115" s="17"/>
      <c r="H115" s="10"/>
      <c r="I115" s="17"/>
      <c r="J115" s="17"/>
      <c r="K115" s="17"/>
    </row>
    <row r="116" spans="3:11" x14ac:dyDescent="0.25">
      <c r="C116" s="17"/>
      <c r="D116" s="17"/>
      <c r="H116" s="10"/>
      <c r="I116" s="17"/>
      <c r="J116" s="17"/>
      <c r="K116" s="17"/>
    </row>
    <row r="117" spans="3:11" x14ac:dyDescent="0.25">
      <c r="C117" s="17"/>
      <c r="D117" s="17"/>
      <c r="H117" s="10"/>
      <c r="I117" s="17"/>
      <c r="J117" s="17"/>
      <c r="K117" s="17"/>
    </row>
    <row r="118" spans="3:11" x14ac:dyDescent="0.25">
      <c r="C118" s="17"/>
      <c r="D118" s="17"/>
      <c r="H118" s="10"/>
      <c r="I118" s="17"/>
      <c r="J118" s="17"/>
      <c r="K118" s="17"/>
    </row>
    <row r="119" spans="3:11" x14ac:dyDescent="0.25">
      <c r="C119" s="17"/>
      <c r="D119" s="17"/>
      <c r="H119" s="10"/>
      <c r="I119" s="17"/>
      <c r="J119" s="17"/>
      <c r="K119" s="17"/>
    </row>
    <row r="120" spans="3:11" x14ac:dyDescent="0.25">
      <c r="C120" s="17"/>
      <c r="D120" s="17"/>
      <c r="H120" s="10"/>
      <c r="I120" s="17"/>
      <c r="J120" s="17"/>
      <c r="K120" s="17"/>
    </row>
    <row r="121" spans="3:11" x14ac:dyDescent="0.25">
      <c r="C121" s="17"/>
      <c r="D121" s="17"/>
      <c r="H121" s="10"/>
      <c r="I121" s="17"/>
      <c r="J121" s="17"/>
      <c r="K121" s="17"/>
    </row>
    <row r="122" spans="3:11" x14ac:dyDescent="0.25">
      <c r="C122" s="17"/>
      <c r="D122" s="17"/>
      <c r="H122" s="10"/>
      <c r="I122" s="17"/>
      <c r="J122" s="17"/>
      <c r="K122" s="17"/>
    </row>
    <row r="123" spans="3:11" x14ac:dyDescent="0.25">
      <c r="C123" s="17"/>
      <c r="D123" s="17"/>
      <c r="H123" s="10"/>
      <c r="I123" s="17"/>
      <c r="J123" s="17"/>
      <c r="K123" s="17"/>
    </row>
    <row r="124" spans="3:11" x14ac:dyDescent="0.25">
      <c r="C124" s="17"/>
      <c r="D124" s="17"/>
      <c r="H124" s="10"/>
      <c r="I124" s="17"/>
      <c r="J124" s="17"/>
      <c r="K124" s="17"/>
    </row>
    <row r="125" spans="3:11" x14ac:dyDescent="0.25">
      <c r="C125" s="17"/>
      <c r="D125" s="17"/>
      <c r="H125" s="10"/>
      <c r="I125" s="17"/>
      <c r="J125" s="17"/>
      <c r="K125" s="17"/>
    </row>
    <row r="126" spans="3:11" x14ac:dyDescent="0.25">
      <c r="C126" s="17"/>
      <c r="D126" s="17"/>
      <c r="H126" s="10"/>
      <c r="I126" s="17"/>
      <c r="J126" s="17"/>
      <c r="K126" s="17"/>
    </row>
    <row r="127" spans="3:11" x14ac:dyDescent="0.25">
      <c r="C127" s="17"/>
      <c r="D127" s="17"/>
      <c r="H127" s="10"/>
      <c r="I127" s="17"/>
      <c r="J127" s="17"/>
      <c r="K127" s="17"/>
    </row>
    <row r="128" spans="3:11" x14ac:dyDescent="0.25">
      <c r="C128" s="17"/>
      <c r="D128" s="17"/>
      <c r="H128" s="10"/>
      <c r="I128" s="17"/>
      <c r="J128" s="17"/>
      <c r="K128" s="17"/>
    </row>
    <row r="129" spans="3:11" x14ac:dyDescent="0.25">
      <c r="C129" s="17"/>
      <c r="D129" s="17"/>
      <c r="H129" s="10"/>
      <c r="I129" s="17"/>
      <c r="J129" s="17"/>
      <c r="K129" s="17"/>
    </row>
    <row r="130" spans="3:11" x14ac:dyDescent="0.25">
      <c r="C130" s="17"/>
      <c r="D130" s="17"/>
      <c r="H130" s="10"/>
      <c r="I130" s="17"/>
      <c r="J130" s="17"/>
      <c r="K130" s="17"/>
    </row>
    <row r="131" spans="3:11" x14ac:dyDescent="0.25">
      <c r="C131" s="17"/>
      <c r="D131" s="17"/>
      <c r="H131" s="10"/>
      <c r="I131" s="17"/>
      <c r="J131" s="17"/>
      <c r="K131" s="17"/>
    </row>
    <row r="132" spans="3:11" x14ac:dyDescent="0.25">
      <c r="C132" s="17"/>
      <c r="D132" s="17"/>
      <c r="H132" s="10"/>
      <c r="I132" s="17"/>
      <c r="J132" s="17"/>
      <c r="K132" s="17"/>
    </row>
    <row r="133" spans="3:11" x14ac:dyDescent="0.25">
      <c r="C133" s="17"/>
      <c r="D133" s="17"/>
      <c r="H133" s="10"/>
      <c r="I133" s="17"/>
      <c r="J133" s="17"/>
      <c r="K133" s="17"/>
    </row>
    <row r="134" spans="3:11" x14ac:dyDescent="0.25">
      <c r="C134" s="17"/>
      <c r="D134" s="17"/>
      <c r="H134" s="10"/>
      <c r="I134" s="17"/>
      <c r="J134" s="17"/>
      <c r="K134" s="17"/>
    </row>
    <row r="135" spans="3:11" x14ac:dyDescent="0.25">
      <c r="C135" s="17"/>
      <c r="D135" s="17"/>
      <c r="H135" s="10"/>
      <c r="I135" s="17"/>
      <c r="J135" s="17"/>
      <c r="K135" s="17"/>
    </row>
    <row r="136" spans="3:11" x14ac:dyDescent="0.25">
      <c r="C136" s="17"/>
      <c r="D136" s="17"/>
      <c r="H136" s="10"/>
      <c r="I136" s="17"/>
      <c r="J136" s="17"/>
      <c r="K136" s="17"/>
    </row>
    <row r="137" spans="3:11" x14ac:dyDescent="0.25">
      <c r="C137" s="17"/>
      <c r="D137" s="17"/>
      <c r="H137" s="10"/>
      <c r="I137" s="17"/>
      <c r="J137" s="17"/>
      <c r="K137" s="17"/>
    </row>
    <row r="138" spans="3:11" x14ac:dyDescent="0.25">
      <c r="C138" s="17"/>
      <c r="D138" s="17"/>
      <c r="H138" s="10"/>
      <c r="I138" s="17"/>
      <c r="J138" s="17"/>
      <c r="K138" s="17"/>
    </row>
    <row r="139" spans="3:11" x14ac:dyDescent="0.25">
      <c r="C139" s="17"/>
      <c r="D139" s="17"/>
      <c r="H139" s="10"/>
      <c r="I139" s="17"/>
      <c r="J139" s="17"/>
      <c r="K139" s="17"/>
    </row>
    <row r="140" spans="3:11" x14ac:dyDescent="0.25">
      <c r="C140" s="17"/>
      <c r="D140" s="17"/>
      <c r="H140" s="10"/>
      <c r="I140" s="17"/>
      <c r="J140" s="17"/>
      <c r="K140" s="17"/>
    </row>
    <row r="141" spans="3:11" x14ac:dyDescent="0.25">
      <c r="C141" s="17"/>
      <c r="D141" s="17"/>
      <c r="H141" s="10"/>
      <c r="I141" s="17"/>
      <c r="J141" s="17"/>
      <c r="K141" s="17"/>
    </row>
    <row r="142" spans="3:11" x14ac:dyDescent="0.25">
      <c r="C142" s="17"/>
      <c r="D142" s="17"/>
      <c r="H142" s="10"/>
      <c r="I142" s="17"/>
      <c r="J142" s="17"/>
      <c r="K142" s="17"/>
    </row>
    <row r="143" spans="3:11" x14ac:dyDescent="0.25">
      <c r="C143" s="17"/>
      <c r="D143" s="17"/>
      <c r="H143" s="10"/>
      <c r="I143" s="17"/>
      <c r="J143" s="17"/>
      <c r="K143" s="17"/>
    </row>
    <row r="144" spans="3:11" x14ac:dyDescent="0.25">
      <c r="C144" s="17"/>
      <c r="D144" s="17"/>
      <c r="H144" s="10"/>
      <c r="I144" s="17"/>
      <c r="J144" s="17"/>
      <c r="K144" s="17"/>
    </row>
    <row r="145" spans="3:11" x14ac:dyDescent="0.25">
      <c r="C145" s="17"/>
      <c r="D145" s="17"/>
      <c r="H145" s="10"/>
      <c r="I145" s="17"/>
      <c r="J145" s="17"/>
      <c r="K145" s="17"/>
    </row>
    <row r="146" spans="3:11" x14ac:dyDescent="0.25">
      <c r="C146" s="17"/>
      <c r="D146" s="17"/>
      <c r="H146" s="10"/>
      <c r="I146" s="17"/>
      <c r="J146" s="17"/>
      <c r="K146" s="17"/>
    </row>
    <row r="147" spans="3:11" x14ac:dyDescent="0.25">
      <c r="C147" s="17"/>
      <c r="D147" s="17"/>
      <c r="H147" s="10"/>
      <c r="I147" s="17"/>
      <c r="J147" s="17"/>
      <c r="K147" s="17"/>
    </row>
    <row r="148" spans="3:11" x14ac:dyDescent="0.25">
      <c r="C148" s="17"/>
      <c r="D148" s="17"/>
      <c r="H148" s="10"/>
      <c r="I148" s="17"/>
      <c r="J148" s="17"/>
      <c r="K148" s="17"/>
    </row>
    <row r="149" spans="3:11" x14ac:dyDescent="0.25">
      <c r="C149" s="17"/>
      <c r="D149" s="17"/>
      <c r="H149" s="10"/>
      <c r="I149" s="17"/>
      <c r="J149" s="17"/>
      <c r="K149" s="17"/>
    </row>
    <row r="150" spans="3:11" x14ac:dyDescent="0.25">
      <c r="C150" s="17"/>
      <c r="D150" s="17"/>
      <c r="H150" s="10"/>
      <c r="I150" s="17"/>
      <c r="J150" s="17"/>
      <c r="K150" s="17"/>
    </row>
    <row r="151" spans="3:11" x14ac:dyDescent="0.25">
      <c r="C151" s="17"/>
      <c r="D151" s="17"/>
      <c r="I151" s="17"/>
      <c r="J151" s="17"/>
      <c r="K151" s="17"/>
    </row>
    <row r="152" spans="3:11" x14ac:dyDescent="0.25">
      <c r="C152" s="17"/>
      <c r="D152" s="17"/>
      <c r="I152" s="17"/>
      <c r="J152" s="17"/>
      <c r="K152" s="17"/>
    </row>
    <row r="153" spans="3:11" x14ac:dyDescent="0.25">
      <c r="C153" s="17"/>
      <c r="D153" s="17"/>
      <c r="I153" s="17"/>
      <c r="J153" s="17"/>
      <c r="K153" s="17"/>
    </row>
    <row r="154" spans="3:11" x14ac:dyDescent="0.25">
      <c r="C154" s="17"/>
      <c r="D154" s="17"/>
      <c r="I154" s="17"/>
      <c r="J154" s="17"/>
      <c r="K154" s="17"/>
    </row>
    <row r="155" spans="3:11" x14ac:dyDescent="0.25">
      <c r="C155" s="17"/>
      <c r="D155" s="17"/>
      <c r="I155" s="17"/>
      <c r="J155" s="17"/>
      <c r="K155" s="17"/>
    </row>
    <row r="156" spans="3:11" x14ac:dyDescent="0.25">
      <c r="C156" s="17"/>
      <c r="D156" s="17"/>
      <c r="I156" s="17"/>
      <c r="J156" s="17"/>
      <c r="K156" s="17"/>
    </row>
    <row r="157" spans="3:11" x14ac:dyDescent="0.25">
      <c r="C157" s="17"/>
      <c r="D157" s="17"/>
      <c r="I157" s="17"/>
      <c r="J157" s="17"/>
      <c r="K157" s="17"/>
    </row>
    <row r="158" spans="3:11" x14ac:dyDescent="0.25">
      <c r="C158" s="17"/>
      <c r="D158" s="17"/>
      <c r="I158" s="17"/>
      <c r="J158" s="17"/>
      <c r="K158" s="17"/>
    </row>
    <row r="159" spans="3:11" x14ac:dyDescent="0.25">
      <c r="C159" s="17"/>
      <c r="D159" s="17"/>
      <c r="I159" s="17"/>
      <c r="J159" s="17"/>
      <c r="K159" s="17"/>
    </row>
    <row r="160" spans="3:11" x14ac:dyDescent="0.25">
      <c r="C160" s="17"/>
      <c r="D160" s="17"/>
      <c r="I160" s="17"/>
      <c r="J160" s="17"/>
      <c r="K160" s="17"/>
    </row>
    <row r="161" spans="3:11" x14ac:dyDescent="0.25">
      <c r="C161" s="17"/>
      <c r="D161" s="17"/>
      <c r="I161" s="17"/>
      <c r="J161" s="17"/>
      <c r="K161" s="17"/>
    </row>
    <row r="162" spans="3:11" x14ac:dyDescent="0.25">
      <c r="C162" s="17"/>
      <c r="D162" s="17"/>
      <c r="I162" s="17"/>
      <c r="J162" s="17"/>
      <c r="K162" s="17"/>
    </row>
    <row r="163" spans="3:11" x14ac:dyDescent="0.25">
      <c r="C163" s="17"/>
      <c r="D163" s="17"/>
      <c r="I163" s="17"/>
      <c r="J163" s="17"/>
      <c r="K163" s="17"/>
    </row>
    <row r="164" spans="3:11" x14ac:dyDescent="0.25">
      <c r="C164" s="17"/>
      <c r="D164" s="17"/>
      <c r="I164" s="17"/>
      <c r="J164" s="17"/>
      <c r="K164" s="17"/>
    </row>
    <row r="165" spans="3:11" x14ac:dyDescent="0.25">
      <c r="C165" s="17"/>
      <c r="D165" s="17"/>
      <c r="I165" s="17"/>
      <c r="J165" s="17"/>
      <c r="K165" s="17"/>
    </row>
    <row r="166" spans="3:11" x14ac:dyDescent="0.25">
      <c r="C166" s="17"/>
      <c r="D166" s="17"/>
      <c r="I166" s="17"/>
      <c r="J166" s="17"/>
      <c r="K166" s="17"/>
    </row>
    <row r="167" spans="3:11" x14ac:dyDescent="0.25">
      <c r="I167" s="17"/>
      <c r="J167" s="17"/>
      <c r="K167" s="17"/>
    </row>
    <row r="168" spans="3:11" x14ac:dyDescent="0.25">
      <c r="I168" s="17"/>
      <c r="J168" s="17"/>
      <c r="K168" s="17"/>
    </row>
    <row r="169" spans="3:11" x14ac:dyDescent="0.25">
      <c r="I169" s="17"/>
      <c r="J169" s="17"/>
      <c r="K169" s="17"/>
    </row>
    <row r="170" spans="3:11" x14ac:dyDescent="0.25">
      <c r="I170" s="17"/>
      <c r="J170" s="17"/>
      <c r="K170" s="17"/>
    </row>
    <row r="171" spans="3:11" x14ac:dyDescent="0.25">
      <c r="I171" s="17"/>
      <c r="J171" s="17"/>
      <c r="K171" s="17"/>
    </row>
    <row r="172" spans="3:11" x14ac:dyDescent="0.25">
      <c r="I172" s="17"/>
      <c r="J172" s="17"/>
      <c r="K172" s="17"/>
    </row>
    <row r="173" spans="3:11" x14ac:dyDescent="0.25">
      <c r="I173" s="17"/>
      <c r="J173" s="17"/>
      <c r="K173" s="17"/>
    </row>
    <row r="174" spans="3:11" x14ac:dyDescent="0.25">
      <c r="I174" s="17"/>
      <c r="J174" s="17"/>
      <c r="K174" s="17"/>
    </row>
    <row r="175" spans="3:11" x14ac:dyDescent="0.25">
      <c r="I175" s="17"/>
      <c r="J175" s="17"/>
      <c r="K175" s="17"/>
    </row>
    <row r="176" spans="3:11" x14ac:dyDescent="0.25">
      <c r="I176" s="17"/>
      <c r="J176" s="17"/>
      <c r="K176" s="17"/>
    </row>
    <row r="177" spans="9:11" x14ac:dyDescent="0.25">
      <c r="I177" s="17"/>
      <c r="J177" s="17"/>
      <c r="K177" s="17"/>
    </row>
    <row r="178" spans="9:11" x14ac:dyDescent="0.25">
      <c r="I178" s="17"/>
      <c r="J178" s="17"/>
      <c r="K178" s="17"/>
    </row>
    <row r="179" spans="9:11" x14ac:dyDescent="0.25">
      <c r="I179" s="17"/>
      <c r="J179" s="17"/>
      <c r="K179" s="17"/>
    </row>
    <row r="180" spans="9:11" x14ac:dyDescent="0.25">
      <c r="I180" s="17"/>
      <c r="J180" s="17"/>
      <c r="K180" s="17"/>
    </row>
    <row r="181" spans="9:11" x14ac:dyDescent="0.25">
      <c r="I181" s="17"/>
      <c r="J181" s="17"/>
      <c r="K181" s="17"/>
    </row>
  </sheetData>
  <mergeCells count="5">
    <mergeCell ref="N31:T31"/>
    <mergeCell ref="E69:K69"/>
    <mergeCell ref="N69:T69"/>
    <mergeCell ref="E8:K8"/>
    <mergeCell ref="N8:T8"/>
  </mergeCells>
  <printOptions horizontalCentered="1"/>
  <pageMargins left="0.7" right="0.7" top="0.75" bottom="0.75" header="0.3" footer="0.3"/>
  <pageSetup scale="42" fitToWidth="2" fitToHeight="2" pageOrder="overThenDown" orientation="portrait" r:id="rId1"/>
  <headerFooter alignWithMargins="0"/>
  <rowBreaks count="1" manualBreakCount="1">
    <brk id="60" max="21" man="1"/>
  </rowBreaks>
  <colBreaks count="1" manualBreakCount="1">
    <brk id="12" max="106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11CA7B076B2F46BB38889BD44FB56D" ma:contentTypeVersion="19" ma:contentTypeDescription="Create a new document." ma:contentTypeScope="" ma:versionID="e63220bcb0994f481c53381a67f4fecc">
  <xsd:schema xmlns:xsd="http://www.w3.org/2001/XMLSchema" xmlns:xs="http://www.w3.org/2001/XMLSchema" xmlns:p="http://schemas.microsoft.com/office/2006/metadata/properties" xmlns:ns2="e25088f3-9b63-4b0f-82a9-173e45969f25" xmlns:ns3="e67a259b-b064-4dad-99ea-9056ae4e8be9" xmlns:ns4="e8eac3e3-aaff-4c5d-8182-f9e9c1a75e02" targetNamespace="http://schemas.microsoft.com/office/2006/metadata/properties" ma:root="true" ma:fieldsID="cc8608911600b76dd3ef3cf2e7467559" ns2:_="" ns3:_="" ns4:_="">
    <xsd:import namespace="e25088f3-9b63-4b0f-82a9-173e45969f25"/>
    <xsd:import namespace="e67a259b-b064-4dad-99ea-9056ae4e8be9"/>
    <xsd:import namespace="e8eac3e3-aaff-4c5d-8182-f9e9c1a75e0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LegacyObjID" minOccurs="0"/>
                <xsd:element ref="ns3:DocDescription" minOccurs="0"/>
                <xsd:element ref="ns3:k6ddcef4143d45158923c73e5fbf7fd3" minOccurs="0"/>
                <xsd:element ref="ns3:TaxCatchAll" minOccurs="0"/>
                <xsd:element ref="ns3:b547e2d25ec54fdeabe25f8313d664c0" minOccurs="0"/>
                <xsd:element ref="ns3:p1d6c7a98c54445284ac0a0253fc066c" minOccurs="0"/>
                <xsd:element ref="ns3:n3050d635d8a4c5ab09e418d8f381e2b" minOccurs="0"/>
                <xsd:element ref="ns3:HoldName" minOccurs="0"/>
                <xsd:element ref="ns3:h3dad4f417ab413a8ca4314e9f1bd0eb" minOccurs="0"/>
                <xsd:element ref="ns2:SharedWithUsers" minOccurs="0"/>
                <xsd:element ref="ns2:SharedWithDetails" minOccurs="0"/>
                <xsd:element ref="ns4:MediaServiceMetadata" minOccurs="0"/>
                <xsd:element ref="ns4:MediaServiceFastMetadata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5088f3-9b63-4b0f-82a9-173e45969f2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7a259b-b064-4dad-99ea-9056ae4e8be9" elementFormDefault="qualified">
    <xsd:import namespace="http://schemas.microsoft.com/office/2006/documentManagement/types"/>
    <xsd:import namespace="http://schemas.microsoft.com/office/infopath/2007/PartnerControls"/>
    <xsd:element name="LegacyObjID" ma:index="11" nillable="true" ma:displayName="Legacy Object ID" ma:description="The OpenText Object ID assigned to the migrated document" ma:internalName="LegacyObjID">
      <xsd:simpleType>
        <xsd:restriction base="dms:Text">
          <xsd:maxLength value="255"/>
        </xsd:restriction>
      </xsd:simpleType>
    </xsd:element>
    <xsd:element name="DocDescription" ma:index="12" nillable="true" ma:displayName="Document Description" ma:description="The description of the document" ma:internalName="DocDescription">
      <xsd:simpleType>
        <xsd:restriction base="dms:Note">
          <xsd:maxLength value="255"/>
        </xsd:restriction>
      </xsd:simpleType>
    </xsd:element>
    <xsd:element name="k6ddcef4143d45158923c73e5fbf7fd3" ma:index="14" nillable="true" ma:taxonomy="true" ma:internalName="k6ddcef4143d45158923c73e5fbf7fd3" ma:taxonomyFieldName="Area" ma:displayName="Area" ma:default="" ma:fieldId="{46ddcef4-143d-4515-8923-c73e5fbf7fd3}" ma:sspId="7bf5fa43-f6bd-45aa-9061-cc6667b7271d" ma:termSetId="04184601-f0b6-4e71-a582-a25f76140a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5" nillable="true" ma:displayName="Taxonomy Catch All Column" ma:hidden="true" ma:list="{68faf95c-2032-4a8a-97fa-a29de466012e}" ma:internalName="TaxCatchAll" ma:showField="CatchAllData" ma:web="e25088f3-9b63-4b0f-82a9-173e45969f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547e2d25ec54fdeabe25f8313d664c0" ma:index="17" nillable="true" ma:taxonomy="true" ma:internalName="b547e2d25ec54fdeabe25f8313d664c0" ma:taxonomyFieldName="District" ma:displayName="District" ma:default="" ma:fieldId="{b547e2d2-5ec5-4fde-abe2-5f8313d664c0}" ma:sspId="7bf5fa43-f6bd-45aa-9061-cc6667b7271d" ma:termSetId="28363ab1-c85c-4f1f-bdda-45b2c4f3e703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1d6c7a98c54445284ac0a0253fc066c" ma:index="19" nillable="true" ma:taxonomy="true" ma:internalName="p1d6c7a98c54445284ac0a0253fc066c" ma:taxonomyFieldName="LegacySecurityTag" ma:displayName="Legacy Security Tag" ma:default="" ma:fieldId="{91d6c7a9-8c54-4452-84ac-0a0253fc066c}" ma:sspId="7bf5fa43-f6bd-45aa-9061-cc6667b7271d" ma:termSetId="d5cde430-222d-4c3a-9b04-75289ab7b20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3050d635d8a4c5ab09e418d8f381e2b" ma:index="21" nillable="true" ma:taxonomy="true" ma:internalName="n3050d635d8a4c5ab09e418d8f381e2b" ma:taxonomyFieldName="Information_x0020_Type" ma:displayName="Information Type" ma:default="" ma:fieldId="{73050d63-5d8a-4c5a-b09e-418d8f381e2b}" ma:sspId="7bf5fa43-f6bd-45aa-9061-cc6667b7271d" ma:termSetId="5460df09-e86b-4c45-898c-b2a91a9b5fe3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HoldName" ma:index="22" nillable="true" ma:displayName="Hold Name" ma:description="The name of the legacy Legal Hold assigned to the Document" ma:internalName="HoldName">
      <xsd:simpleType>
        <xsd:restriction base="dms:Note">
          <xsd:maxLength value="255"/>
        </xsd:restriction>
      </xsd:simpleType>
    </xsd:element>
    <xsd:element name="h3dad4f417ab413a8ca4314e9f1bd0eb" ma:index="24" nillable="true" ma:taxonomy="true" ma:internalName="h3dad4f417ab413a8ca4314e9f1bd0eb" ma:taxonomyFieldName="Information_x0020_Status" ma:displayName="Information Status" ma:default="1;#Draft|85e3e8f1-6d5d-4c8b-9355-5eb54c3875c2" ma:fieldId="{13dad4f4-17ab-413a-8ca4-314e9f1bd0eb}" ma:sspId="7bf5fa43-f6bd-45aa-9061-cc6667b7271d" ma:termSetId="66d3dc24-0c45-4f11-9171-189e7d76739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eac3e3-aaff-4c5d-8182-f9e9c1a75e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101D1DC-2140-4A01-9C57-45DE342E0DB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56790B6-70A8-4010-8250-ED2AB283FB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FB490A-D0E7-44F6-850A-639DD26CF3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5088f3-9b63-4b0f-82a9-173e45969f25"/>
    <ds:schemaRef ds:uri="e67a259b-b064-4dad-99ea-9056ae4e8be9"/>
    <ds:schemaRef ds:uri="e8eac3e3-aaff-4c5d-8182-f9e9c1a75e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0CC6EE5-4737-4410-A379-99E9E93C7CC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Cover</vt:lpstr>
      <vt:lpstr>Schedule A</vt:lpstr>
      <vt:lpstr>Schedule B</vt:lpstr>
      <vt:lpstr>Schedule C</vt:lpstr>
      <vt:lpstr>Schedule D</vt:lpstr>
      <vt:lpstr>'Schedule A'!Print_Area</vt:lpstr>
      <vt:lpstr>'Schedule B'!Print_Area</vt:lpstr>
      <vt:lpstr>'Schedule C'!Print_Area</vt:lpstr>
      <vt:lpstr>'Schedule D'!Print_Area</vt:lpstr>
      <vt:lpstr>'Schedule B'!Print_Titles</vt:lpstr>
      <vt:lpstr>'Schedule C'!Print_Titles</vt:lpstr>
      <vt:lpstr>'Schedule D'!Print_Titles</vt:lpstr>
    </vt:vector>
  </TitlesOfParts>
  <Company>Central Hudson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SKardas</dc:creator>
  <cp:lastModifiedBy>Bissell, Garrett E</cp:lastModifiedBy>
  <cp:lastPrinted>2020-08-19T16:37:31Z</cp:lastPrinted>
  <dcterms:created xsi:type="dcterms:W3CDTF">2005-06-14T14:51:16Z</dcterms:created>
  <dcterms:modified xsi:type="dcterms:W3CDTF">2023-10-19T20:50:36Z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3dad4f417ab413a8ca4314e9f1bd0eb">
    <vt:lpwstr>Draft|85e3e8f1-6d5d-4c8b-9355-5eb54c3875c2</vt:lpwstr>
  </property>
  <property fmtid="{D5CDD505-2E9C-101B-9397-08002B2CF9AE}" pid="3" name="LegacyObjID">
    <vt:lpwstr>30518693</vt:lpwstr>
  </property>
  <property fmtid="{D5CDD505-2E9C-101B-9397-08002B2CF9AE}" pid="4" name="display_urn:schemas-microsoft-com:office:office#Editor">
    <vt:lpwstr>Dittmar, Amy</vt:lpwstr>
  </property>
  <property fmtid="{D5CDD505-2E9C-101B-9397-08002B2CF9AE}" pid="5" name="display_urn:schemas-microsoft-com:office:office#Author">
    <vt:lpwstr>Burger, Christopher</vt:lpwstr>
  </property>
  <property fmtid="{D5CDD505-2E9C-101B-9397-08002B2CF9AE}" pid="6" name="k6ddcef4143d45158923c73e5fbf7fd3">
    <vt:lpwstr>630 - Plant Accounting|a6765553-3578-4e75-9400-744cacd660a9</vt:lpwstr>
  </property>
  <property fmtid="{D5CDD505-2E9C-101B-9397-08002B2CF9AE}" pid="7" name="b547e2d25ec54fdeabe25f8313d664c0">
    <vt:lpwstr>South Road|16dd7f40-718c-44a7-aea8-194a5088e78b</vt:lpwstr>
  </property>
  <property fmtid="{D5CDD505-2E9C-101B-9397-08002B2CF9AE}" pid="8" name="Information Status">
    <vt:lpwstr>1;#Draft|85e3e8f1-6d5d-4c8b-9355-5eb54c3875c2</vt:lpwstr>
  </property>
  <property fmtid="{D5CDD505-2E9C-101B-9397-08002B2CF9AE}" pid="9" name="Area">
    <vt:lpwstr>27;#630 - Plant Accounting|a6765553-3578-4e75-9400-744cacd660a9</vt:lpwstr>
  </property>
  <property fmtid="{D5CDD505-2E9C-101B-9397-08002B2CF9AE}" pid="10" name="Information Type">
    <vt:lpwstr>44;#Regulatory-Rate Case|cb9d53d6-6a1e-4ced-894d-e346827b3cef</vt:lpwstr>
  </property>
  <property fmtid="{D5CDD505-2E9C-101B-9397-08002B2CF9AE}" pid="11" name="n3050d635d8a4c5ab09e418d8f381e2b">
    <vt:lpwstr>Regulatory-Rate Case|cb9d53d6-6a1e-4ced-894d-e346827b3cef</vt:lpwstr>
  </property>
  <property fmtid="{D5CDD505-2E9C-101B-9397-08002B2CF9AE}" pid="12" name="District">
    <vt:lpwstr>4;#South Road|16dd7f40-718c-44a7-aea8-194a5088e78b</vt:lpwstr>
  </property>
  <property fmtid="{D5CDD505-2E9C-101B-9397-08002B2CF9AE}" pid="13" name="p1d6c7a98c54445284ac0a0253fc066c">
    <vt:lpwstr/>
  </property>
  <property fmtid="{D5CDD505-2E9C-101B-9397-08002B2CF9AE}" pid="14" name="LegacySecurityTag">
    <vt:lpwstr/>
  </property>
  <property fmtid="{D5CDD505-2E9C-101B-9397-08002B2CF9AE}" pid="15" name="TaxCatchAll">
    <vt:lpwstr>27;#630 - Plant Accounting|a6765553-3578-4e75-9400-744cacd660a9;#4;#South Road|16dd7f40-718c-44a7-aea8-194a5088e78b;#44;#Regulatory-Rate Case|cb9d53d6-6a1e-4ced-894d-e346827b3cef;#1;#Draft|85e3e8f1-6d5d-4c8b-9355-5eb54c3875c2</vt:lpwstr>
  </property>
  <property fmtid="{D5CDD505-2E9C-101B-9397-08002B2CF9AE}" pid="16" name="_dlc_DocId">
    <vt:lpwstr>SYCKHE2NZKZH-1733611864-11569</vt:lpwstr>
  </property>
  <property fmtid="{D5CDD505-2E9C-101B-9397-08002B2CF9AE}" pid="17" name="_dlc_DocIdItemGuid">
    <vt:lpwstr>e6daf066-5ff2-4c0f-828f-f01a7977e0e4</vt:lpwstr>
  </property>
  <property fmtid="{D5CDD505-2E9C-101B-9397-08002B2CF9AE}" pid="18" name="_dlc_DocIdUrl">
    <vt:lpwstr>https://centralhudson.sharepoint.com/sites/EnergyPolicyRegulation/_layouts/15/DocIdRedir.aspx?ID=SYCKHE2NZKZH-1733611864-11569, SYCKHE2NZKZH-1733611864-11569</vt:lpwstr>
  </property>
  <property fmtid="{D5CDD505-2E9C-101B-9397-08002B2CF9AE}" pid="19" name="ecm_ItemDeleteBlockHolders">
    <vt:lpwstr/>
  </property>
  <property fmtid="{D5CDD505-2E9C-101B-9397-08002B2CF9AE}" pid="20" name="IconOverlay">
    <vt:lpwstr/>
  </property>
  <property fmtid="{D5CDD505-2E9C-101B-9397-08002B2CF9AE}" pid="21" name="ecm_RecordRestrictions">
    <vt:lpwstr/>
  </property>
  <property fmtid="{D5CDD505-2E9C-101B-9397-08002B2CF9AE}" pid="22" name="_vti_ItemHoldRecordStatus">
    <vt:lpwstr/>
  </property>
  <property fmtid="{D5CDD505-2E9C-101B-9397-08002B2CF9AE}" pid="23" name="ecm_ItemLockHolders">
    <vt:lpwstr/>
  </property>
  <property fmtid="{D5CDD505-2E9C-101B-9397-08002B2CF9AE}" pid="24" name="Order">
    <vt:lpwstr>7399500.00000000</vt:lpwstr>
  </property>
  <property fmtid="{D5CDD505-2E9C-101B-9397-08002B2CF9AE}" pid="25" name="xd_ProgID">
    <vt:lpwstr/>
  </property>
  <property fmtid="{D5CDD505-2E9C-101B-9397-08002B2CF9AE}" pid="26" name="SharedWithUsers">
    <vt:lpwstr/>
  </property>
  <property fmtid="{D5CDD505-2E9C-101B-9397-08002B2CF9AE}" pid="27" name="ComplianceAssetId">
    <vt:lpwstr/>
  </property>
  <property fmtid="{D5CDD505-2E9C-101B-9397-08002B2CF9AE}" pid="28" name="TemplateUrl">
    <vt:lpwstr/>
  </property>
  <property fmtid="{D5CDD505-2E9C-101B-9397-08002B2CF9AE}" pid="29" name="HoldName">
    <vt:lpwstr/>
  </property>
  <property fmtid="{D5CDD505-2E9C-101B-9397-08002B2CF9AE}" pid="30" name="_ExtendedDescription">
    <vt:lpwstr/>
  </property>
  <property fmtid="{D5CDD505-2E9C-101B-9397-08002B2CF9AE}" pid="31" name="ContentTypeId">
    <vt:lpwstr>0x010100EE7D97E7475B474AA043B4C681C0A2E13300FD53426F48861F4BB414FE299787ADD2</vt:lpwstr>
  </property>
  <property fmtid="{D5CDD505-2E9C-101B-9397-08002B2CF9AE}" pid="32" name="TriggerFlowInfo">
    <vt:lpwstr/>
  </property>
  <property fmtid="{D5CDD505-2E9C-101B-9397-08002B2CF9AE}" pid="33" name="DocDescription">
    <vt:lpwstr/>
  </property>
  <property fmtid="{D5CDD505-2E9C-101B-9397-08002B2CF9AE}" pid="34" name="_SourceUrl">
    <vt:lpwstr/>
  </property>
  <property fmtid="{D5CDD505-2E9C-101B-9397-08002B2CF9AE}" pid="35" name="_SharedFileIndex">
    <vt:lpwstr/>
  </property>
  <property fmtid="{D5CDD505-2E9C-101B-9397-08002B2CF9AE}" pid="36" name="xd_Signature">
    <vt:lpwstr/>
  </property>
  <property fmtid="{D5CDD505-2E9C-101B-9397-08002B2CF9AE}" pid="37" name="MSIP_Label_a5049dce-8671-4c79-90d7-f6ec79470f4e_Enabled">
    <vt:lpwstr>true</vt:lpwstr>
  </property>
  <property fmtid="{D5CDD505-2E9C-101B-9397-08002B2CF9AE}" pid="38" name="MSIP_Label_a5049dce-8671-4c79-90d7-f6ec79470f4e_SetDate">
    <vt:lpwstr>2023-10-19T20:47:45Z</vt:lpwstr>
  </property>
  <property fmtid="{D5CDD505-2E9C-101B-9397-08002B2CF9AE}" pid="39" name="MSIP_Label_a5049dce-8671-4c79-90d7-f6ec79470f4e_Method">
    <vt:lpwstr>Privileged</vt:lpwstr>
  </property>
  <property fmtid="{D5CDD505-2E9C-101B-9397-08002B2CF9AE}" pid="40" name="MSIP_Label_a5049dce-8671-4c79-90d7-f6ec79470f4e_Name">
    <vt:lpwstr>Public</vt:lpwstr>
  </property>
  <property fmtid="{D5CDD505-2E9C-101B-9397-08002B2CF9AE}" pid="41" name="MSIP_Label_a5049dce-8671-4c79-90d7-f6ec79470f4e_SiteId">
    <vt:lpwstr>7658602a-f7b9-4209-bc62-d2bfc30dea0d</vt:lpwstr>
  </property>
  <property fmtid="{D5CDD505-2E9C-101B-9397-08002B2CF9AE}" pid="42" name="MSIP_Label_a5049dce-8671-4c79-90d7-f6ec79470f4e_ActionId">
    <vt:lpwstr>ef251498-7502-4947-8c84-9d4bc8aa12b4</vt:lpwstr>
  </property>
  <property fmtid="{D5CDD505-2E9C-101B-9397-08002B2CF9AE}" pid="43" name="MSIP_Label_a5049dce-8671-4c79-90d7-f6ec79470f4e_ContentBits">
    <vt:lpwstr>0</vt:lpwstr>
  </property>
  <property fmtid="{D5CDD505-2E9C-101B-9397-08002B2CF9AE}" pid="44" name="_AdHocReviewCycleID">
    <vt:i4>-1152281719</vt:i4>
  </property>
  <property fmtid="{D5CDD505-2E9C-101B-9397-08002B2CF9AE}" pid="45" name="_NewReviewCycle">
    <vt:lpwstr/>
  </property>
  <property fmtid="{D5CDD505-2E9C-101B-9397-08002B2CF9AE}" pid="46" name="_EmailSubject">
    <vt:lpwstr>[EXT] RE: Central Hudson RS19 Filing - Deficiency Response (FERC Docket No. ER23-2507)</vt:lpwstr>
  </property>
  <property fmtid="{D5CDD505-2E9C-101B-9397-08002B2CF9AE}" pid="47" name="_AuthorEmail">
    <vt:lpwstr>GBissell@nyiso.com</vt:lpwstr>
  </property>
  <property fmtid="{D5CDD505-2E9C-101B-9397-08002B2CF9AE}" pid="48" name="_AuthorEmailDisplayName">
    <vt:lpwstr>Bissell, Garrett E</vt:lpwstr>
  </property>
</Properties>
</file>