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6608" windowHeight="7788" tabRatio="881"/>
  </bookViews>
  <sheets>
    <sheet name="Offshore Wind NYC" sheetId="48" r:id="rId1"/>
    <sheet name="Wind NYC" sheetId="43" r:id="rId2"/>
    <sheet name="Wind GHI" sheetId="47" r:id="rId3"/>
    <sheet name="Solar NYC" sheetId="45" r:id="rId4"/>
    <sheet name="Solar GHI" sheetId="46" r:id="rId5"/>
    <sheet name="ICAP Price&amp;Impact" sheetId="22" r:id="rId6"/>
    <sheet name="Depreciation Tables" sheetId="9" r:id="rId7"/>
    <sheet name="Assumptions" sheetId="38" r:id="rId8"/>
  </sheets>
  <definedNames>
    <definedName name="DepreciationTypes" localSheetId="0">'Offshore Wind NYC'!$AP$5:$AR$5</definedName>
    <definedName name="DepreciationTypes" localSheetId="4">'Solar GHI'!$AP$5:$AR$5</definedName>
    <definedName name="DepreciationTypes" localSheetId="3">'Solar NYC'!$AP$5:$AR$5</definedName>
    <definedName name="DepreciationTypes" localSheetId="2">'Wind GHI'!$AP$5:$AR$5</definedName>
    <definedName name="DepreciationTypes" localSheetId="1">'Wind NYC'!$AP$5:$AR$5</definedName>
    <definedName name="MACRS" localSheetId="0">'Offshore Wind NYC'!$AP$6:$AP$11</definedName>
    <definedName name="MACRS" localSheetId="4">'Solar GHI'!$AP$6:$AP$11</definedName>
    <definedName name="MACRS" localSheetId="3">'Solar NYC'!$AP$6:$AP$11</definedName>
    <definedName name="MACRS" localSheetId="2">'Wind GHI'!$AP$6:$AP$11</definedName>
    <definedName name="MACRS" localSheetId="1">'Wind NYC'!$AP$6:$AP$11</definedName>
    <definedName name="StraightLine" localSheetId="0">'Offshore Wind NYC'!$AQ$6:$AQ$35</definedName>
    <definedName name="StraightLine" localSheetId="4">'Solar GHI'!$AQ$6:$AQ$35</definedName>
    <definedName name="StraightLine" localSheetId="3">'Solar NYC'!$AQ$6:$AQ$35</definedName>
    <definedName name="StraightLine" localSheetId="2">'Wind GHI'!$AQ$6:$AQ$35</definedName>
    <definedName name="StraightLine" localSheetId="1">'Wind NYC'!$AQ$6:$AQ$35</definedName>
    <definedName name="Yes" localSheetId="0">'Offshore Wind NYC'!$C$45</definedName>
    <definedName name="Yes" localSheetId="4">'Solar GHI'!$C$43</definedName>
    <definedName name="Yes" localSheetId="3">'Solar NYC'!$C$44</definedName>
    <definedName name="Yes" localSheetId="2">'Wind GHI'!$C$44</definedName>
    <definedName name="Yes" localSheetId="1">'Wind NYC'!$C$45</definedName>
    <definedName name="Yes">#REF!</definedName>
  </definedNames>
  <calcPr calcId="125725"/>
</workbook>
</file>

<file path=xl/calcChain.xml><?xml version="1.0" encoding="utf-8"?>
<calcChain xmlns="http://schemas.openxmlformats.org/spreadsheetml/2006/main">
  <c r="AS48" i="46"/>
  <c r="AS47"/>
  <c r="AS48" i="45"/>
  <c r="AS47"/>
  <c r="AS48" i="47"/>
  <c r="AS47"/>
  <c r="AS48" i="43"/>
  <c r="AS47"/>
  <c r="AS48" i="48"/>
  <c r="AS47"/>
  <c r="AC29" i="43"/>
  <c r="AD29"/>
  <c r="AE29"/>
  <c r="AF29"/>
  <c r="AG29"/>
  <c r="AH29"/>
  <c r="AI29"/>
  <c r="AJ29"/>
  <c r="AK29"/>
  <c r="AL29"/>
  <c r="AL29" i="47"/>
  <c r="AK29"/>
  <c r="AJ29"/>
  <c r="AI29"/>
  <c r="AH29"/>
  <c r="AG29"/>
  <c r="AF29"/>
  <c r="AE29"/>
  <c r="AD29"/>
  <c r="AC29"/>
  <c r="AL29" i="48"/>
  <c r="AK29"/>
  <c r="AJ29"/>
  <c r="AI29"/>
  <c r="AH29"/>
  <c r="AG29"/>
  <c r="AF29"/>
  <c r="AE29"/>
  <c r="AD29"/>
  <c r="AC29"/>
  <c r="C6"/>
  <c r="I43" s="1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C42"/>
  <c r="C41"/>
  <c r="AQ39"/>
  <c r="W11" s="1"/>
  <c r="AL34"/>
  <c r="AL35" s="1"/>
  <c r="AK34"/>
  <c r="AK35" s="1"/>
  <c r="AJ34"/>
  <c r="AJ35" s="1"/>
  <c r="AI34"/>
  <c r="AI35" s="1"/>
  <c r="AH34"/>
  <c r="AH35" s="1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I29" s="1"/>
  <c r="C26"/>
  <c r="C20"/>
  <c r="AC34" s="1"/>
  <c r="AC35" s="1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AH17"/>
  <c r="I17"/>
  <c r="AJ16"/>
  <c r="C16"/>
  <c r="C15"/>
  <c r="C14"/>
  <c r="AL13"/>
  <c r="AK13"/>
  <c r="AJ13"/>
  <c r="AI13"/>
  <c r="AH13"/>
  <c r="AL12"/>
  <c r="AK12"/>
  <c r="AJ12"/>
  <c r="AI12"/>
  <c r="AH12"/>
  <c r="AL11"/>
  <c r="AK11"/>
  <c r="AJ11"/>
  <c r="AI11"/>
  <c r="AH11"/>
  <c r="AL7"/>
  <c r="AK7"/>
  <c r="AJ7"/>
  <c r="AI7"/>
  <c r="AH7"/>
  <c r="AG7"/>
  <c r="AF7"/>
  <c r="AE7"/>
  <c r="AD7"/>
  <c r="AC7"/>
  <c r="AB7"/>
  <c r="AA7"/>
  <c r="Z7"/>
  <c r="Y7"/>
  <c r="Y17" s="1"/>
  <c r="X7"/>
  <c r="W7"/>
  <c r="V7"/>
  <c r="U7"/>
  <c r="T7"/>
  <c r="S7"/>
  <c r="R7"/>
  <c r="Q7"/>
  <c r="P7"/>
  <c r="O7"/>
  <c r="N7"/>
  <c r="M7"/>
  <c r="L7"/>
  <c r="K7"/>
  <c r="J7"/>
  <c r="I7"/>
  <c r="C16" i="47"/>
  <c r="C6"/>
  <c r="I43" s="1"/>
  <c r="I44" s="1"/>
  <c r="I24" s="1"/>
  <c r="I48"/>
  <c r="I49" s="1"/>
  <c r="C19"/>
  <c r="S34" s="1"/>
  <c r="S35" s="1"/>
  <c r="AQ39"/>
  <c r="AL50"/>
  <c r="AL31"/>
  <c r="AK50"/>
  <c r="AK31" s="1"/>
  <c r="AJ50"/>
  <c r="AJ31" s="1"/>
  <c r="AI50"/>
  <c r="AH50"/>
  <c r="AH31" s="1"/>
  <c r="AG50"/>
  <c r="AG31" s="1"/>
  <c r="AF50"/>
  <c r="AF31" s="1"/>
  <c r="AE50"/>
  <c r="AE31" s="1"/>
  <c r="AD50"/>
  <c r="AC50"/>
  <c r="AC31" s="1"/>
  <c r="AL49"/>
  <c r="AL23" s="1"/>
  <c r="AK49"/>
  <c r="AK23" s="1"/>
  <c r="AJ49"/>
  <c r="AJ23" s="1"/>
  <c r="AI49"/>
  <c r="AI23" s="1"/>
  <c r="AH49"/>
  <c r="AH23" s="1"/>
  <c r="AG49"/>
  <c r="AG23" s="1"/>
  <c r="AF49"/>
  <c r="AF23" s="1"/>
  <c r="AE49"/>
  <c r="AE23" s="1"/>
  <c r="AD49"/>
  <c r="AD23" s="1"/>
  <c r="AC49"/>
  <c r="AC23" s="1"/>
  <c r="AL48"/>
  <c r="AK48"/>
  <c r="AJ48"/>
  <c r="AJ51" s="1"/>
  <c r="AI48"/>
  <c r="AH48"/>
  <c r="AG48"/>
  <c r="AF48"/>
  <c r="AF51" s="1"/>
  <c r="AE48"/>
  <c r="AD48"/>
  <c r="AC48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C41"/>
  <c r="C40"/>
  <c r="AL39"/>
  <c r="AK39"/>
  <c r="AJ39"/>
  <c r="AI39"/>
  <c r="AH39"/>
  <c r="AG39"/>
  <c r="AF39"/>
  <c r="AE39"/>
  <c r="AD39"/>
  <c r="AC39"/>
  <c r="AL38"/>
  <c r="AK38"/>
  <c r="AJ38"/>
  <c r="AI38"/>
  <c r="AH38"/>
  <c r="AG38"/>
  <c r="AF38"/>
  <c r="AE38"/>
  <c r="AD38"/>
  <c r="AC38"/>
  <c r="AL34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L27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I29" s="1"/>
  <c r="C25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AL18"/>
  <c r="AK18"/>
  <c r="AJ18"/>
  <c r="AI18"/>
  <c r="AH18"/>
  <c r="AG18"/>
  <c r="AF18"/>
  <c r="AE18"/>
  <c r="AE20" s="1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AL17"/>
  <c r="AK17"/>
  <c r="AJ17"/>
  <c r="AI17"/>
  <c r="AH17"/>
  <c r="AG17"/>
  <c r="AF17"/>
  <c r="AE17"/>
  <c r="AD17"/>
  <c r="AC17"/>
  <c r="I17"/>
  <c r="AL16"/>
  <c r="AK16"/>
  <c r="AJ16"/>
  <c r="AI16"/>
  <c r="AH16"/>
  <c r="AG16"/>
  <c r="AG20" s="1"/>
  <c r="AF16"/>
  <c r="AE16"/>
  <c r="AD16"/>
  <c r="AC16"/>
  <c r="AC20" s="1"/>
  <c r="C15"/>
  <c r="C14"/>
  <c r="AL13"/>
  <c r="AK13"/>
  <c r="AJ13"/>
  <c r="AI13"/>
  <c r="AH13"/>
  <c r="AG13"/>
  <c r="AF13"/>
  <c r="AE13"/>
  <c r="AD13"/>
  <c r="AC13"/>
  <c r="AL12"/>
  <c r="AK12"/>
  <c r="AJ12"/>
  <c r="AJ14" s="1"/>
  <c r="AI12"/>
  <c r="AH12"/>
  <c r="AG12"/>
  <c r="AF12"/>
  <c r="AE12"/>
  <c r="AD12"/>
  <c r="AC12"/>
  <c r="AL11"/>
  <c r="AK11"/>
  <c r="AJ11"/>
  <c r="AI11"/>
  <c r="AH11"/>
  <c r="AG11"/>
  <c r="AF11"/>
  <c r="AE11"/>
  <c r="AD11"/>
  <c r="AC11"/>
  <c r="AL7"/>
  <c r="AK7"/>
  <c r="AJ7"/>
  <c r="AI7"/>
  <c r="AH7"/>
  <c r="AG7"/>
  <c r="AF7"/>
  <c r="AE7"/>
  <c r="AD7"/>
  <c r="AC7"/>
  <c r="AB7"/>
  <c r="AA7"/>
  <c r="AA16" s="1"/>
  <c r="Z7"/>
  <c r="Z13" s="1"/>
  <c r="Y7"/>
  <c r="Y11" s="1"/>
  <c r="X7"/>
  <c r="W7"/>
  <c r="W13" s="1"/>
  <c r="V7"/>
  <c r="U7"/>
  <c r="U12" s="1"/>
  <c r="T7"/>
  <c r="T11" s="1"/>
  <c r="S7"/>
  <c r="S13" s="1"/>
  <c r="R7"/>
  <c r="Q7"/>
  <c r="Q13" s="1"/>
  <c r="P7"/>
  <c r="O7"/>
  <c r="O13" s="1"/>
  <c r="N7"/>
  <c r="N11" s="1"/>
  <c r="M7"/>
  <c r="M11" s="1"/>
  <c r="L7"/>
  <c r="L11" s="1"/>
  <c r="K7"/>
  <c r="K11" s="1"/>
  <c r="J7"/>
  <c r="I7"/>
  <c r="AL27" i="43"/>
  <c r="AK27"/>
  <c r="AJ27"/>
  <c r="AI27"/>
  <c r="AH27"/>
  <c r="AG27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K27"/>
  <c r="J27"/>
  <c r="I27"/>
  <c r="I29" s="1"/>
  <c r="AI16" i="48"/>
  <c r="AL17"/>
  <c r="AH16"/>
  <c r="AL16"/>
  <c r="AJ17"/>
  <c r="AK16"/>
  <c r="AI17"/>
  <c r="AK17"/>
  <c r="X13"/>
  <c r="T34"/>
  <c r="T35" s="1"/>
  <c r="R34"/>
  <c r="R35" s="1"/>
  <c r="N12"/>
  <c r="M34"/>
  <c r="M35" s="1"/>
  <c r="J12"/>
  <c r="C43" i="47"/>
  <c r="Z12"/>
  <c r="Q12"/>
  <c r="P12"/>
  <c r="T12"/>
  <c r="C35"/>
  <c r="I16" s="1"/>
  <c r="S16" s="1"/>
  <c r="U11"/>
  <c r="W11"/>
  <c r="J13"/>
  <c r="N13"/>
  <c r="V13"/>
  <c r="AL35"/>
  <c r="V12"/>
  <c r="N17"/>
  <c r="Z16"/>
  <c r="AH48" i="48"/>
  <c r="AH49"/>
  <c r="AH23" s="1"/>
  <c r="AH50"/>
  <c r="AI48"/>
  <c r="AI49"/>
  <c r="AI23" s="1"/>
  <c r="AH39"/>
  <c r="AH38"/>
  <c r="AI50"/>
  <c r="AJ48"/>
  <c r="AI39"/>
  <c r="AJ49"/>
  <c r="AJ23" s="1"/>
  <c r="AI38"/>
  <c r="AJ50"/>
  <c r="AJ31" s="1"/>
  <c r="AK48"/>
  <c r="AK49"/>
  <c r="AK23" s="1"/>
  <c r="AK50"/>
  <c r="AK31" s="1"/>
  <c r="AJ39"/>
  <c r="AJ38"/>
  <c r="AL48"/>
  <c r="AK39"/>
  <c r="AK38"/>
  <c r="AL49"/>
  <c r="AL23" s="1"/>
  <c r="AL50"/>
  <c r="AL31" s="1"/>
  <c r="AL39"/>
  <c r="AL38"/>
  <c r="C20" i="43"/>
  <c r="W34" s="1"/>
  <c r="W35" s="1"/>
  <c r="I27" i="46"/>
  <c r="I46"/>
  <c r="I47" s="1"/>
  <c r="I23" s="1"/>
  <c r="C6"/>
  <c r="C15"/>
  <c r="C18"/>
  <c r="U32" s="1"/>
  <c r="U33" s="1"/>
  <c r="AQ39"/>
  <c r="P11" s="1"/>
  <c r="AL48"/>
  <c r="AL29" s="1"/>
  <c r="AK48"/>
  <c r="AK29" s="1"/>
  <c r="AJ48"/>
  <c r="AJ29"/>
  <c r="AI48"/>
  <c r="AI29" s="1"/>
  <c r="AH48"/>
  <c r="AH29" s="1"/>
  <c r="AG48"/>
  <c r="AG29" s="1"/>
  <c r="AF48"/>
  <c r="AF29" s="1"/>
  <c r="AE48"/>
  <c r="AE29" s="1"/>
  <c r="AD48"/>
  <c r="AD29" s="1"/>
  <c r="AC48"/>
  <c r="AL47"/>
  <c r="AL23" s="1"/>
  <c r="AK47"/>
  <c r="AK23" s="1"/>
  <c r="AJ47"/>
  <c r="AJ23" s="1"/>
  <c r="AI47"/>
  <c r="AI23" s="1"/>
  <c r="AH47"/>
  <c r="AH23" s="1"/>
  <c r="AG47"/>
  <c r="AG23" s="1"/>
  <c r="AF47"/>
  <c r="AF23" s="1"/>
  <c r="AE47"/>
  <c r="AE23" s="1"/>
  <c r="AD47"/>
  <c r="AD23" s="1"/>
  <c r="AC47"/>
  <c r="AC23" s="1"/>
  <c r="AL46"/>
  <c r="AK46"/>
  <c r="AJ46"/>
  <c r="AJ49" s="1"/>
  <c r="AI46"/>
  <c r="AH46"/>
  <c r="AH49" s="1"/>
  <c r="AG46"/>
  <c r="AG49" s="1"/>
  <c r="AF46"/>
  <c r="AE46"/>
  <c r="AD46"/>
  <c r="AC46"/>
  <c r="C42"/>
  <c r="I41"/>
  <c r="C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C39"/>
  <c r="AL37"/>
  <c r="AK37"/>
  <c r="AJ37"/>
  <c r="AI37"/>
  <c r="AH37"/>
  <c r="AG37"/>
  <c r="AF37"/>
  <c r="AE37"/>
  <c r="AD37"/>
  <c r="AC37"/>
  <c r="AL36"/>
  <c r="AK36"/>
  <c r="AJ36"/>
  <c r="AI36"/>
  <c r="AH36"/>
  <c r="AG36"/>
  <c r="AF36"/>
  <c r="AE36"/>
  <c r="AD36"/>
  <c r="AC36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C25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AL18"/>
  <c r="AK18"/>
  <c r="AK20" s="1"/>
  <c r="AJ18"/>
  <c r="AI18"/>
  <c r="AH18"/>
  <c r="AG18"/>
  <c r="AF18"/>
  <c r="AE18"/>
  <c r="AD18"/>
  <c r="AC18"/>
  <c r="AC20" s="1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AL17"/>
  <c r="AK17"/>
  <c r="AJ17"/>
  <c r="AI17"/>
  <c r="AI20" s="1"/>
  <c r="AH17"/>
  <c r="AG17"/>
  <c r="AF17"/>
  <c r="AE17"/>
  <c r="AD17"/>
  <c r="AC17"/>
  <c r="I17"/>
  <c r="AL16"/>
  <c r="AL20" s="1"/>
  <c r="AK16"/>
  <c r="AJ16"/>
  <c r="AJ20" s="1"/>
  <c r="AI16"/>
  <c r="AH16"/>
  <c r="AH20"/>
  <c r="AG16"/>
  <c r="AF16"/>
  <c r="AF20" s="1"/>
  <c r="AE16"/>
  <c r="AD16"/>
  <c r="AD20" s="1"/>
  <c r="AC16"/>
  <c r="C14"/>
  <c r="AA13" s="1"/>
  <c r="AL13"/>
  <c r="AK13"/>
  <c r="AJ13"/>
  <c r="AI13"/>
  <c r="AH13"/>
  <c r="AG13"/>
  <c r="AF13"/>
  <c r="AE13"/>
  <c r="AD13"/>
  <c r="AC13"/>
  <c r="C13"/>
  <c r="S12" s="1"/>
  <c r="AL12"/>
  <c r="AK12"/>
  <c r="AJ12"/>
  <c r="AI12"/>
  <c r="AH12"/>
  <c r="AG12"/>
  <c r="AF12"/>
  <c r="AE12"/>
  <c r="AD12"/>
  <c r="AC12"/>
  <c r="AL11"/>
  <c r="AL14" s="1"/>
  <c r="AK11"/>
  <c r="AK14" s="1"/>
  <c r="AJ11"/>
  <c r="AJ14" s="1"/>
  <c r="AJ22" s="1"/>
  <c r="AI11"/>
  <c r="AH11"/>
  <c r="AH14" s="1"/>
  <c r="AH22" s="1"/>
  <c r="AG11"/>
  <c r="AF11"/>
  <c r="AE11"/>
  <c r="AD11"/>
  <c r="AD14" s="1"/>
  <c r="AD22" s="1"/>
  <c r="AC11"/>
  <c r="AC14" s="1"/>
  <c r="AL7"/>
  <c r="AK7"/>
  <c r="AJ7"/>
  <c r="AI7"/>
  <c r="AH7"/>
  <c r="AG7"/>
  <c r="AF7"/>
  <c r="AE7"/>
  <c r="AD7"/>
  <c r="AC7"/>
  <c r="AB7"/>
  <c r="AB17" s="1"/>
  <c r="AA7"/>
  <c r="AA11" s="1"/>
  <c r="Z7"/>
  <c r="Z17" s="1"/>
  <c r="Y7"/>
  <c r="X7"/>
  <c r="W7"/>
  <c r="V7"/>
  <c r="U7"/>
  <c r="T7"/>
  <c r="T17" s="1"/>
  <c r="S7"/>
  <c r="S11" s="1"/>
  <c r="R7"/>
  <c r="Q7"/>
  <c r="P7"/>
  <c r="P17" s="1"/>
  <c r="O7"/>
  <c r="O11" s="1"/>
  <c r="N7"/>
  <c r="N17" s="1"/>
  <c r="M7"/>
  <c r="L7"/>
  <c r="K7"/>
  <c r="K11" s="1"/>
  <c r="J7"/>
  <c r="I7"/>
  <c r="C34"/>
  <c r="I16" s="1"/>
  <c r="C6" i="45"/>
  <c r="C43" s="1"/>
  <c r="AL48"/>
  <c r="AL29" s="1"/>
  <c r="AK48"/>
  <c r="AK29" s="1"/>
  <c r="AJ48"/>
  <c r="AJ29" s="1"/>
  <c r="AI48"/>
  <c r="AI29" s="1"/>
  <c r="AH48"/>
  <c r="AH29" s="1"/>
  <c r="AG48"/>
  <c r="AG29" s="1"/>
  <c r="AF48"/>
  <c r="AF29" s="1"/>
  <c r="AE48"/>
  <c r="AE29" s="1"/>
  <c r="AD48"/>
  <c r="AD29" s="1"/>
  <c r="AC48"/>
  <c r="AC29" s="1"/>
  <c r="AL47"/>
  <c r="AL23" s="1"/>
  <c r="AK47"/>
  <c r="AK23" s="1"/>
  <c r="AJ47"/>
  <c r="AJ23" s="1"/>
  <c r="AI47"/>
  <c r="AI23" s="1"/>
  <c r="AH47"/>
  <c r="AH23" s="1"/>
  <c r="AG47"/>
  <c r="AG23" s="1"/>
  <c r="AF47"/>
  <c r="AF23" s="1"/>
  <c r="AE47"/>
  <c r="AE23" s="1"/>
  <c r="AD47"/>
  <c r="AD23" s="1"/>
  <c r="AC47"/>
  <c r="AC23" s="1"/>
  <c r="AL46"/>
  <c r="AK46"/>
  <c r="AJ46"/>
  <c r="AJ49" s="1"/>
  <c r="AI46"/>
  <c r="AH46"/>
  <c r="AG46"/>
  <c r="AF46"/>
  <c r="AE46"/>
  <c r="AD46"/>
  <c r="AC46"/>
  <c r="AC49" s="1"/>
  <c r="C41"/>
  <c r="C40"/>
  <c r="AL40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S40"/>
  <c r="R40"/>
  <c r="Q40"/>
  <c r="P40"/>
  <c r="O40"/>
  <c r="N40"/>
  <c r="M40"/>
  <c r="L40"/>
  <c r="K40"/>
  <c r="J40"/>
  <c r="I40"/>
  <c r="AQ39"/>
  <c r="AL37"/>
  <c r="AK37"/>
  <c r="AJ37"/>
  <c r="AI37"/>
  <c r="AH37"/>
  <c r="AG37"/>
  <c r="AF37"/>
  <c r="AE37"/>
  <c r="AD37"/>
  <c r="AC37"/>
  <c r="AL36"/>
  <c r="AK36"/>
  <c r="AJ36"/>
  <c r="AI36"/>
  <c r="AH36"/>
  <c r="AG36"/>
  <c r="AF36"/>
  <c r="AE36"/>
  <c r="AD36"/>
  <c r="AC36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C26"/>
  <c r="C19"/>
  <c r="Y32" s="1"/>
  <c r="Y33" s="1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AL18"/>
  <c r="AK18"/>
  <c r="AJ18"/>
  <c r="AI18"/>
  <c r="AH18"/>
  <c r="AG18"/>
  <c r="AF18"/>
  <c r="AE18"/>
  <c r="AE20" s="1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AL17"/>
  <c r="AK17"/>
  <c r="AJ17"/>
  <c r="AI17"/>
  <c r="AH17"/>
  <c r="AG17"/>
  <c r="AF17"/>
  <c r="AE17"/>
  <c r="AD17"/>
  <c r="AC17"/>
  <c r="I17"/>
  <c r="O17" s="1"/>
  <c r="AL16"/>
  <c r="AK16"/>
  <c r="AJ16"/>
  <c r="AJ20" s="1"/>
  <c r="AI16"/>
  <c r="AH16"/>
  <c r="AG16"/>
  <c r="AF16"/>
  <c r="AE16"/>
  <c r="AD16"/>
  <c r="AC16"/>
  <c r="C15"/>
  <c r="O11" s="1"/>
  <c r="C14"/>
  <c r="M13" s="1"/>
  <c r="C13"/>
  <c r="V12" s="1"/>
  <c r="AL13"/>
  <c r="AK13"/>
  <c r="AJ13"/>
  <c r="AI13"/>
  <c r="AH13"/>
  <c r="AG13"/>
  <c r="AF13"/>
  <c r="AE13"/>
  <c r="AD13"/>
  <c r="AC13"/>
  <c r="AL12"/>
  <c r="AK12"/>
  <c r="AJ12"/>
  <c r="AI12"/>
  <c r="AH12"/>
  <c r="AG12"/>
  <c r="AF12"/>
  <c r="AE12"/>
  <c r="AD12"/>
  <c r="AC12"/>
  <c r="AL11"/>
  <c r="AK11"/>
  <c r="AK14" s="1"/>
  <c r="AJ11"/>
  <c r="AI11"/>
  <c r="AH11"/>
  <c r="AG11"/>
  <c r="AG14" s="1"/>
  <c r="AF11"/>
  <c r="AF14" s="1"/>
  <c r="AF22" s="1"/>
  <c r="AE11"/>
  <c r="AD11"/>
  <c r="AC11"/>
  <c r="AL7"/>
  <c r="AK7"/>
  <c r="AJ7"/>
  <c r="AI7"/>
  <c r="AH7"/>
  <c r="AG7"/>
  <c r="AF7"/>
  <c r="AE7"/>
  <c r="AD7"/>
  <c r="AC7"/>
  <c r="AB7"/>
  <c r="AA7"/>
  <c r="AA13" s="1"/>
  <c r="Z7"/>
  <c r="Z12" s="1"/>
  <c r="Y7"/>
  <c r="Y12" s="1"/>
  <c r="X7"/>
  <c r="W7"/>
  <c r="W12" s="1"/>
  <c r="V7"/>
  <c r="U7"/>
  <c r="T7"/>
  <c r="S7"/>
  <c r="S17" s="1"/>
  <c r="R7"/>
  <c r="R12" s="1"/>
  <c r="Q7"/>
  <c r="P7"/>
  <c r="O7"/>
  <c r="O13" s="1"/>
  <c r="N7"/>
  <c r="N12" s="1"/>
  <c r="M7"/>
  <c r="L7"/>
  <c r="K7"/>
  <c r="K12" s="1"/>
  <c r="J7"/>
  <c r="J17" s="1"/>
  <c r="I7"/>
  <c r="C6" i="43"/>
  <c r="I43" s="1"/>
  <c r="C15"/>
  <c r="X13" s="1"/>
  <c r="AF13"/>
  <c r="AL50"/>
  <c r="AK50"/>
  <c r="AK31" s="1"/>
  <c r="AJ50"/>
  <c r="AJ31" s="1"/>
  <c r="AI50"/>
  <c r="AI31" s="1"/>
  <c r="AH50"/>
  <c r="AH31" s="1"/>
  <c r="AL49"/>
  <c r="AL23" s="1"/>
  <c r="AK49"/>
  <c r="AK23" s="1"/>
  <c r="AJ49"/>
  <c r="AJ23" s="1"/>
  <c r="AI49"/>
  <c r="AI23" s="1"/>
  <c r="AH49"/>
  <c r="AH23" s="1"/>
  <c r="AL48"/>
  <c r="AK48"/>
  <c r="AJ48"/>
  <c r="AI48"/>
  <c r="AH48"/>
  <c r="C42"/>
  <c r="C41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S42"/>
  <c r="R42"/>
  <c r="Q42"/>
  <c r="P42"/>
  <c r="O42"/>
  <c r="N42"/>
  <c r="M42"/>
  <c r="L42"/>
  <c r="K42"/>
  <c r="J42"/>
  <c r="I42"/>
  <c r="AQ39"/>
  <c r="AL39"/>
  <c r="AK39"/>
  <c r="AJ39"/>
  <c r="AI39"/>
  <c r="AH39"/>
  <c r="AL38"/>
  <c r="AK38"/>
  <c r="AJ38"/>
  <c r="AI38"/>
  <c r="AH38"/>
  <c r="AL34"/>
  <c r="AK34"/>
  <c r="AK35" s="1"/>
  <c r="AJ34"/>
  <c r="AJ35" s="1"/>
  <c r="AI34"/>
  <c r="AI35" s="1"/>
  <c r="AH34"/>
  <c r="AH35" s="1"/>
  <c r="AG34"/>
  <c r="AG35" s="1"/>
  <c r="AC34"/>
  <c r="AC35" s="1"/>
  <c r="C26"/>
  <c r="AL19"/>
  <c r="AK19"/>
  <c r="AJ19"/>
  <c r="AI19"/>
  <c r="AH19"/>
  <c r="AG19"/>
  <c r="AF19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AL18"/>
  <c r="AL20" s="1"/>
  <c r="AK18"/>
  <c r="AJ18"/>
  <c r="AI18"/>
  <c r="AH18"/>
  <c r="AH20" s="1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AL17"/>
  <c r="AK17"/>
  <c r="AJ17"/>
  <c r="AI17"/>
  <c r="AH17"/>
  <c r="AE17"/>
  <c r="I17"/>
  <c r="W17" s="1"/>
  <c r="AG17"/>
  <c r="AL16"/>
  <c r="AK16"/>
  <c r="AJ16"/>
  <c r="AJ20" s="1"/>
  <c r="AI16"/>
  <c r="AH16"/>
  <c r="C16"/>
  <c r="C14"/>
  <c r="T12" s="1"/>
  <c r="AL13"/>
  <c r="AK13"/>
  <c r="AJ13"/>
  <c r="AI13"/>
  <c r="AH13"/>
  <c r="AL12"/>
  <c r="AK12"/>
  <c r="AJ12"/>
  <c r="AI12"/>
  <c r="AH12"/>
  <c r="AD12"/>
  <c r="AL11"/>
  <c r="AL14" s="1"/>
  <c r="AL22" s="1"/>
  <c r="AK11"/>
  <c r="AJ11"/>
  <c r="AI11"/>
  <c r="AH11"/>
  <c r="AH14" s="1"/>
  <c r="AF11"/>
  <c r="AF14" s="1"/>
  <c r="AE11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Q13" s="1"/>
  <c r="P7"/>
  <c r="O7"/>
  <c r="N7"/>
  <c r="M7"/>
  <c r="L7"/>
  <c r="K7"/>
  <c r="J7"/>
  <c r="I7"/>
  <c r="C35" i="45"/>
  <c r="I16" s="1"/>
  <c r="AG14" i="46"/>
  <c r="W12"/>
  <c r="AE14"/>
  <c r="AE22" s="1"/>
  <c r="AI14"/>
  <c r="AE20"/>
  <c r="J17"/>
  <c r="R17"/>
  <c r="X17"/>
  <c r="K17"/>
  <c r="AA17"/>
  <c r="W13"/>
  <c r="W17"/>
  <c r="V17"/>
  <c r="C41"/>
  <c r="U12"/>
  <c r="AG20"/>
  <c r="AB13"/>
  <c r="L13"/>
  <c r="Y13"/>
  <c r="I13"/>
  <c r="N11"/>
  <c r="X12"/>
  <c r="M17"/>
  <c r="Q17"/>
  <c r="U17"/>
  <c r="Y17"/>
  <c r="X32"/>
  <c r="X33" s="1"/>
  <c r="Q11"/>
  <c r="K32"/>
  <c r="K33" s="1"/>
  <c r="AD14" i="45"/>
  <c r="AC14"/>
  <c r="AF20"/>
  <c r="I46"/>
  <c r="W13"/>
  <c r="Y17"/>
  <c r="T13"/>
  <c r="I13"/>
  <c r="U13"/>
  <c r="Y13"/>
  <c r="AI20"/>
  <c r="J13"/>
  <c r="M12"/>
  <c r="U12"/>
  <c r="AC20"/>
  <c r="N13"/>
  <c r="V17"/>
  <c r="Z13"/>
  <c r="L32"/>
  <c r="L33" s="1"/>
  <c r="P12"/>
  <c r="Z11"/>
  <c r="Z14" s="1"/>
  <c r="I12"/>
  <c r="Q12"/>
  <c r="Q11"/>
  <c r="J11"/>
  <c r="U17"/>
  <c r="K17" i="43"/>
  <c r="M13"/>
  <c r="AE13"/>
  <c r="AC13"/>
  <c r="AG13"/>
  <c r="I48"/>
  <c r="I49" s="1"/>
  <c r="I23" s="1"/>
  <c r="AF12"/>
  <c r="AE12"/>
  <c r="AE14" s="1"/>
  <c r="AD13"/>
  <c r="AE16"/>
  <c r="AE34"/>
  <c r="AE35" s="1"/>
  <c r="AF34"/>
  <c r="X34"/>
  <c r="X35" s="1"/>
  <c r="AD34"/>
  <c r="AD35" s="1"/>
  <c r="R34"/>
  <c r="R35" s="1"/>
  <c r="AD11"/>
  <c r="AG11"/>
  <c r="AC11"/>
  <c r="AC12"/>
  <c r="Q12"/>
  <c r="AG12"/>
  <c r="AF16"/>
  <c r="U34"/>
  <c r="U35" s="1"/>
  <c r="AD17"/>
  <c r="AG16"/>
  <c r="AG20"/>
  <c r="AF17"/>
  <c r="AC17"/>
  <c r="J52" i="22"/>
  <c r="J33"/>
  <c r="J14"/>
  <c r="N50"/>
  <c r="AD16" i="43"/>
  <c r="AG22" i="46"/>
  <c r="I47" i="45"/>
  <c r="I23" s="1"/>
  <c r="AC16" i="43"/>
  <c r="AF35"/>
  <c r="N53" i="22"/>
  <c r="N5"/>
  <c r="I32"/>
  <c r="I29"/>
  <c r="I11"/>
  <c r="I10"/>
  <c r="I14"/>
  <c r="N6"/>
  <c r="I48"/>
  <c r="I50"/>
  <c r="O53"/>
  <c r="P53"/>
  <c r="I31"/>
  <c r="I30"/>
  <c r="I51"/>
  <c r="I49"/>
  <c r="I13"/>
  <c r="I12"/>
  <c r="I52"/>
  <c r="I33"/>
  <c r="C52"/>
  <c r="C33"/>
  <c r="D14"/>
  <c r="D52"/>
  <c r="O44"/>
  <c r="O47"/>
  <c r="O43"/>
  <c r="AC48" i="43"/>
  <c r="AC49"/>
  <c r="AC23" s="1"/>
  <c r="AC50"/>
  <c r="AC31" s="1"/>
  <c r="AD48"/>
  <c r="AD51" s="1"/>
  <c r="AD49"/>
  <c r="AD23" s="1"/>
  <c r="AC39"/>
  <c r="AC38"/>
  <c r="AD50"/>
  <c r="AD31" s="1"/>
  <c r="AE48"/>
  <c r="AE49"/>
  <c r="AE23" s="1"/>
  <c r="AE50"/>
  <c r="AE31" s="1"/>
  <c r="AD39"/>
  <c r="AD38"/>
  <c r="AF48"/>
  <c r="AF49"/>
  <c r="AF23" s="1"/>
  <c r="AE39"/>
  <c r="AF50"/>
  <c r="AF31" s="1"/>
  <c r="AE38"/>
  <c r="AG48"/>
  <c r="AG49"/>
  <c r="AG23" s="1"/>
  <c r="AF39"/>
  <c r="AG50"/>
  <c r="AG31" s="1"/>
  <c r="AF38"/>
  <c r="D3" i="9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  <c r="D4"/>
  <c r="E4"/>
  <c r="F4"/>
  <c r="G4"/>
  <c r="H4"/>
  <c r="I4"/>
  <c r="J4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AE4"/>
  <c r="AF4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D6"/>
  <c r="E6"/>
  <c r="F6"/>
  <c r="G6"/>
  <c r="H6"/>
  <c r="I6"/>
  <c r="J6"/>
  <c r="K6"/>
  <c r="L6"/>
  <c r="M6"/>
  <c r="N6"/>
  <c r="O6"/>
  <c r="P6"/>
  <c r="Q6"/>
  <c r="R6"/>
  <c r="S6"/>
  <c r="T6"/>
  <c r="U6"/>
  <c r="V6"/>
  <c r="W6"/>
  <c r="X6"/>
  <c r="Y6"/>
  <c r="Z6"/>
  <c r="AA6"/>
  <c r="AB6"/>
  <c r="AC6"/>
  <c r="AD6"/>
  <c r="AE6"/>
  <c r="AF6"/>
  <c r="D7"/>
  <c r="E7"/>
  <c r="F7"/>
  <c r="G7"/>
  <c r="H7"/>
  <c r="I7"/>
  <c r="J7"/>
  <c r="K7"/>
  <c r="L7"/>
  <c r="M7"/>
  <c r="N7"/>
  <c r="O7"/>
  <c r="P7"/>
  <c r="Q7"/>
  <c r="R7"/>
  <c r="S7"/>
  <c r="T7"/>
  <c r="U7"/>
  <c r="V7"/>
  <c r="W7"/>
  <c r="X7"/>
  <c r="Y7"/>
  <c r="Z7"/>
  <c r="AA7"/>
  <c r="AB7"/>
  <c r="AC7"/>
  <c r="AD7"/>
  <c r="AE7"/>
  <c r="AF7"/>
  <c r="D8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D10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D11"/>
  <c r="E11"/>
  <c r="F11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D12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D16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D17"/>
  <c r="E17"/>
  <c r="F17"/>
  <c r="G17"/>
  <c r="H17"/>
  <c r="I17"/>
  <c r="J17"/>
  <c r="K17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F17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D19"/>
  <c r="E19"/>
  <c r="F19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D26"/>
  <c r="E26"/>
  <c r="F26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D27"/>
  <c r="E27"/>
  <c r="F27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D28"/>
  <c r="E28"/>
  <c r="F28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D29"/>
  <c r="E29"/>
  <c r="F29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D30"/>
  <c r="E30"/>
  <c r="F30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D31"/>
  <c r="E31"/>
  <c r="F3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D32"/>
  <c r="E32"/>
  <c r="F32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C18"/>
  <c r="C19"/>
  <c r="C20"/>
  <c r="C21"/>
  <c r="C22"/>
  <c r="C23"/>
  <c r="C24"/>
  <c r="C25"/>
  <c r="C26"/>
  <c r="C27"/>
  <c r="C28"/>
  <c r="C29"/>
  <c r="C30"/>
  <c r="C31"/>
  <c r="C32"/>
  <c r="AG39" i="43"/>
  <c r="AG38"/>
  <c r="C13" i="9"/>
  <c r="C14"/>
  <c r="C15"/>
  <c r="C16"/>
  <c r="C17"/>
  <c r="N43" i="22"/>
  <c r="O25"/>
  <c r="D33"/>
  <c r="O24"/>
  <c r="O34"/>
  <c r="N24"/>
  <c r="O28"/>
  <c r="O54"/>
  <c r="N25"/>
  <c r="P25"/>
  <c r="O35"/>
  <c r="N44"/>
  <c r="P44"/>
  <c r="P43"/>
  <c r="P24"/>
  <c r="N34"/>
  <c r="P34"/>
  <c r="N35"/>
  <c r="P35"/>
  <c r="P36"/>
  <c r="N54"/>
  <c r="P45"/>
  <c r="P26"/>
  <c r="O6"/>
  <c r="O5"/>
  <c r="O15"/>
  <c r="C14"/>
  <c r="C12" i="9"/>
  <c r="C11"/>
  <c r="C10"/>
  <c r="C9"/>
  <c r="C8"/>
  <c r="C7"/>
  <c r="C6"/>
  <c r="C5"/>
  <c r="C4"/>
  <c r="C3"/>
  <c r="P54" i="22"/>
  <c r="P55"/>
  <c r="P57"/>
  <c r="O9"/>
  <c r="P38"/>
  <c r="P6"/>
  <c r="O16"/>
  <c r="N15"/>
  <c r="P15"/>
  <c r="P5"/>
  <c r="N16"/>
  <c r="P16"/>
  <c r="P17"/>
  <c r="P7"/>
  <c r="P19"/>
  <c r="AL49" i="46" l="1"/>
  <c r="AI49" i="45"/>
  <c r="AL49"/>
  <c r="AE49"/>
  <c r="AK51" i="43"/>
  <c r="AE49" i="46"/>
  <c r="AA12" i="47"/>
  <c r="AA17"/>
  <c r="AA20" s="1"/>
  <c r="T13"/>
  <c r="T14" s="1"/>
  <c r="AI20"/>
  <c r="K34"/>
  <c r="K35" s="1"/>
  <c r="AE14"/>
  <c r="AI14"/>
  <c r="AI22"/>
  <c r="AA13"/>
  <c r="Y34"/>
  <c r="Y35" s="1"/>
  <c r="K13"/>
  <c r="X13"/>
  <c r="Y13"/>
  <c r="I13"/>
  <c r="AD14"/>
  <c r="AB13"/>
  <c r="AF14"/>
  <c r="U13"/>
  <c r="AH51"/>
  <c r="AL51"/>
  <c r="Q11"/>
  <c r="Q14" s="1"/>
  <c r="U14"/>
  <c r="O12"/>
  <c r="AE22"/>
  <c r="K16"/>
  <c r="R13"/>
  <c r="L13"/>
  <c r="AC14"/>
  <c r="AC22" s="1"/>
  <c r="AG14"/>
  <c r="AG22" s="1"/>
  <c r="AK14"/>
  <c r="AD20"/>
  <c r="AK20"/>
  <c r="AH20"/>
  <c r="C42"/>
  <c r="AC51"/>
  <c r="AG51"/>
  <c r="AK51"/>
  <c r="AB34"/>
  <c r="AB35" s="1"/>
  <c r="V11"/>
  <c r="V14" s="1"/>
  <c r="L34"/>
  <c r="L35" s="1"/>
  <c r="O34"/>
  <c r="O35" s="1"/>
  <c r="AB11"/>
  <c r="S11"/>
  <c r="Z34"/>
  <c r="Z35" s="1"/>
  <c r="R34"/>
  <c r="R35" s="1"/>
  <c r="X34"/>
  <c r="X35" s="1"/>
  <c r="AA34"/>
  <c r="AA35" s="1"/>
  <c r="Q14" i="45"/>
  <c r="Q22" s="1"/>
  <c r="AC22"/>
  <c r="U11"/>
  <c r="U14" s="1"/>
  <c r="S12"/>
  <c r="K17"/>
  <c r="K11"/>
  <c r="P17"/>
  <c r="Q17"/>
  <c r="V13"/>
  <c r="R17"/>
  <c r="Q13"/>
  <c r="X11"/>
  <c r="P13"/>
  <c r="T12"/>
  <c r="X12"/>
  <c r="AB13"/>
  <c r="AH14"/>
  <c r="AH22" s="1"/>
  <c r="AL14"/>
  <c r="AL22" s="1"/>
  <c r="AG20"/>
  <c r="AG22" s="1"/>
  <c r="AK20"/>
  <c r="AD20"/>
  <c r="AD22" s="1"/>
  <c r="AH20"/>
  <c r="AL20"/>
  <c r="AD49"/>
  <c r="AG49"/>
  <c r="AK49"/>
  <c r="J14"/>
  <c r="AK22"/>
  <c r="S11"/>
  <c r="S14" s="1"/>
  <c r="S22" s="1"/>
  <c r="V11"/>
  <c r="M17"/>
  <c r="O12"/>
  <c r="Z17"/>
  <c r="N17"/>
  <c r="J12"/>
  <c r="R13"/>
  <c r="S13"/>
  <c r="W17"/>
  <c r="AE14"/>
  <c r="C42"/>
  <c r="I48"/>
  <c r="I49" s="1"/>
  <c r="J46" s="1"/>
  <c r="J47" s="1"/>
  <c r="I34" i="43"/>
  <c r="I35" s="1"/>
  <c r="Y12"/>
  <c r="AB34"/>
  <c r="AB35" s="1"/>
  <c r="S34"/>
  <c r="S35" s="1"/>
  <c r="M34"/>
  <c r="M35" s="1"/>
  <c r="AF51"/>
  <c r="V34"/>
  <c r="V35" s="1"/>
  <c r="AE20"/>
  <c r="AB12"/>
  <c r="AA13"/>
  <c r="K13"/>
  <c r="J13"/>
  <c r="N13"/>
  <c r="V12"/>
  <c r="Z17"/>
  <c r="AI14"/>
  <c r="AK14"/>
  <c r="AK22" s="1"/>
  <c r="AJ14"/>
  <c r="AJ22" s="1"/>
  <c r="P11"/>
  <c r="AK20"/>
  <c r="AI20"/>
  <c r="C43"/>
  <c r="AJ51"/>
  <c r="I44"/>
  <c r="AD20"/>
  <c r="U12"/>
  <c r="P34"/>
  <c r="P35" s="1"/>
  <c r="W12"/>
  <c r="AG14"/>
  <c r="AG22" s="1"/>
  <c r="AA17"/>
  <c r="AF20"/>
  <c r="AF22" s="1"/>
  <c r="M12"/>
  <c r="T34"/>
  <c r="T35" s="1"/>
  <c r="O34"/>
  <c r="O35" s="1"/>
  <c r="T13"/>
  <c r="AB13"/>
  <c r="AL51"/>
  <c r="AD14"/>
  <c r="AD22" s="1"/>
  <c r="C36"/>
  <c r="I16" s="1"/>
  <c r="T16" s="1"/>
  <c r="T20" s="1"/>
  <c r="AC51"/>
  <c r="AC20"/>
  <c r="U17"/>
  <c r="P17"/>
  <c r="S12"/>
  <c r="P12"/>
  <c r="R17"/>
  <c r="AH51"/>
  <c r="AL31"/>
  <c r="C44"/>
  <c r="I50" s="1"/>
  <c r="I51" s="1"/>
  <c r="J48" s="1"/>
  <c r="J49" s="1"/>
  <c r="AE22"/>
  <c r="Y17"/>
  <c r="T17"/>
  <c r="R12"/>
  <c r="L12"/>
  <c r="W11"/>
  <c r="I13"/>
  <c r="P34" i="48"/>
  <c r="P35" s="1"/>
  <c r="K34"/>
  <c r="K35" s="1"/>
  <c r="J34"/>
  <c r="J35" s="1"/>
  <c r="S34"/>
  <c r="S35" s="1"/>
  <c r="AL51"/>
  <c r="AH51"/>
  <c r="AG13"/>
  <c r="AJ20"/>
  <c r="Z34"/>
  <c r="Z35" s="1"/>
  <c r="AA34"/>
  <c r="AA35" s="1"/>
  <c r="V11"/>
  <c r="AB11"/>
  <c r="U11" i="43"/>
  <c r="S32" i="45"/>
  <c r="S33" s="1"/>
  <c r="U11" i="46"/>
  <c r="R11"/>
  <c r="AB11"/>
  <c r="L11" i="45"/>
  <c r="Z11" i="43"/>
  <c r="P32" i="45"/>
  <c r="P33" s="1"/>
  <c r="I11" i="46"/>
  <c r="V11"/>
  <c r="Y11"/>
  <c r="W11"/>
  <c r="W14" s="1"/>
  <c r="N32" i="45"/>
  <c r="N33" s="1"/>
  <c r="M11" i="46"/>
  <c r="Z11"/>
  <c r="J11"/>
  <c r="L11"/>
  <c r="X11"/>
  <c r="AE11" i="48"/>
  <c r="AK14"/>
  <c r="J11" i="43"/>
  <c r="J32" i="45"/>
  <c r="J33" s="1"/>
  <c r="Z32"/>
  <c r="Z33" s="1"/>
  <c r="O32"/>
  <c r="O33" s="1"/>
  <c r="AA11" i="43"/>
  <c r="AH22"/>
  <c r="AJ14" i="45"/>
  <c r="AJ22" s="1"/>
  <c r="AI22" i="46"/>
  <c r="I44" i="48"/>
  <c r="I24" s="1"/>
  <c r="AC14" i="43"/>
  <c r="AC22" s="1"/>
  <c r="U32" i="45"/>
  <c r="U33" s="1"/>
  <c r="Q32"/>
  <c r="Q33" s="1"/>
  <c r="AB32"/>
  <c r="AB33" s="1"/>
  <c r="V32"/>
  <c r="V33" s="1"/>
  <c r="K32"/>
  <c r="K33" s="1"/>
  <c r="AA32"/>
  <c r="AA33" s="1"/>
  <c r="AI14"/>
  <c r="AI22" s="1"/>
  <c r="AF14" i="46"/>
  <c r="AF22" s="1"/>
  <c r="I42"/>
  <c r="I24" s="1"/>
  <c r="AH14" i="47"/>
  <c r="AL14"/>
  <c r="S11" i="48"/>
  <c r="T32" i="45"/>
  <c r="T33" s="1"/>
  <c r="R32"/>
  <c r="R33" s="1"/>
  <c r="X32"/>
  <c r="X33" s="1"/>
  <c r="W32"/>
  <c r="W33" s="1"/>
  <c r="I32"/>
  <c r="I33" s="1"/>
  <c r="M32"/>
  <c r="M33" s="1"/>
  <c r="T11" i="43"/>
  <c r="T14" s="1"/>
  <c r="T22" s="1"/>
  <c r="X11" i="47"/>
  <c r="I24" i="43"/>
  <c r="I45"/>
  <c r="J43" s="1"/>
  <c r="J44" s="1"/>
  <c r="J24" s="1"/>
  <c r="AA16"/>
  <c r="Y16"/>
  <c r="Y20" s="1"/>
  <c r="K16"/>
  <c r="K20" s="1"/>
  <c r="R16"/>
  <c r="V16"/>
  <c r="V20" s="1"/>
  <c r="Z12"/>
  <c r="M17"/>
  <c r="X17"/>
  <c r="Y34"/>
  <c r="Y35" s="1"/>
  <c r="J12"/>
  <c r="R13"/>
  <c r="N17"/>
  <c r="M11"/>
  <c r="M14" s="1"/>
  <c r="R11"/>
  <c r="L34"/>
  <c r="L35" s="1"/>
  <c r="N34"/>
  <c r="N35" s="1"/>
  <c r="K34"/>
  <c r="K35" s="1"/>
  <c r="AA34"/>
  <c r="AA35" s="1"/>
  <c r="O12"/>
  <c r="X12"/>
  <c r="Y13"/>
  <c r="S13"/>
  <c r="U13"/>
  <c r="W13"/>
  <c r="S17"/>
  <c r="N12"/>
  <c r="K11"/>
  <c r="AB11"/>
  <c r="AB14" s="1"/>
  <c r="AL35"/>
  <c r="Q34"/>
  <c r="Q35" s="1"/>
  <c r="Q11"/>
  <c r="Q14" s="1"/>
  <c r="V11"/>
  <c r="V13"/>
  <c r="O11"/>
  <c r="X11"/>
  <c r="Q17"/>
  <c r="AB17"/>
  <c r="L17"/>
  <c r="Z13"/>
  <c r="I12"/>
  <c r="V17"/>
  <c r="I11"/>
  <c r="Y11"/>
  <c r="Y14" s="1"/>
  <c r="Y22" s="1"/>
  <c r="N11"/>
  <c r="J34"/>
  <c r="J35" s="1"/>
  <c r="Z34"/>
  <c r="Z35" s="1"/>
  <c r="K12"/>
  <c r="AA12"/>
  <c r="L13"/>
  <c r="P13"/>
  <c r="O13"/>
  <c r="O17"/>
  <c r="J17"/>
  <c r="L11"/>
  <c r="S11"/>
  <c r="AI51"/>
  <c r="P13" i="47"/>
  <c r="P11"/>
  <c r="P17"/>
  <c r="J17"/>
  <c r="Z17"/>
  <c r="T17"/>
  <c r="O17"/>
  <c r="AB17"/>
  <c r="X17"/>
  <c r="V17"/>
  <c r="U17"/>
  <c r="S17"/>
  <c r="S20" s="1"/>
  <c r="L17"/>
  <c r="Y17"/>
  <c r="R17"/>
  <c r="Q17"/>
  <c r="I20"/>
  <c r="X16"/>
  <c r="P16"/>
  <c r="P20" s="1"/>
  <c r="W16"/>
  <c r="O16"/>
  <c r="Y16"/>
  <c r="Y20" s="1"/>
  <c r="V16"/>
  <c r="J16"/>
  <c r="J20" s="1"/>
  <c r="R16"/>
  <c r="AB16"/>
  <c r="T16"/>
  <c r="L16"/>
  <c r="L20" s="1"/>
  <c r="Q16"/>
  <c r="N16"/>
  <c r="N20" s="1"/>
  <c r="U16"/>
  <c r="U20" s="1"/>
  <c r="U22" s="1"/>
  <c r="M12"/>
  <c r="Z20"/>
  <c r="M13"/>
  <c r="AH22"/>
  <c r="AJ20"/>
  <c r="AJ22" s="1"/>
  <c r="M16"/>
  <c r="M17"/>
  <c r="I11"/>
  <c r="AF20"/>
  <c r="AF22" s="1"/>
  <c r="K17"/>
  <c r="W17"/>
  <c r="AL20"/>
  <c r="AL22" s="1"/>
  <c r="I45"/>
  <c r="J43" s="1"/>
  <c r="N34"/>
  <c r="N35" s="1"/>
  <c r="K12"/>
  <c r="V34"/>
  <c r="V35" s="1"/>
  <c r="W12"/>
  <c r="W14" s="1"/>
  <c r="Q34"/>
  <c r="Q35" s="1"/>
  <c r="T34"/>
  <c r="T35" s="1"/>
  <c r="U34"/>
  <c r="U35" s="1"/>
  <c r="W34"/>
  <c r="W35" s="1"/>
  <c r="X12"/>
  <c r="AE51"/>
  <c r="Y12"/>
  <c r="Y14" s="1"/>
  <c r="Y22" s="1"/>
  <c r="I12"/>
  <c r="J12"/>
  <c r="S12"/>
  <c r="AA11"/>
  <c r="AA14" s="1"/>
  <c r="O11"/>
  <c r="N12"/>
  <c r="N14" s="1"/>
  <c r="J34"/>
  <c r="J35" s="1"/>
  <c r="Z11"/>
  <c r="Z14" s="1"/>
  <c r="Z22" s="1"/>
  <c r="R11"/>
  <c r="J11"/>
  <c r="I34"/>
  <c r="I35" s="1"/>
  <c r="P34"/>
  <c r="P35" s="1"/>
  <c r="M34"/>
  <c r="M35" s="1"/>
  <c r="AB12"/>
  <c r="L12"/>
  <c r="R12"/>
  <c r="AE22" i="45"/>
  <c r="O14"/>
  <c r="V16"/>
  <c r="V20" s="1"/>
  <c r="P16"/>
  <c r="P20" s="1"/>
  <c r="R16"/>
  <c r="Y16"/>
  <c r="Y20" s="1"/>
  <c r="T16"/>
  <c r="T20" s="1"/>
  <c r="U16"/>
  <c r="U20" s="1"/>
  <c r="U22" s="1"/>
  <c r="L16"/>
  <c r="N16"/>
  <c r="N20" s="1"/>
  <c r="O16"/>
  <c r="O20" s="1"/>
  <c r="W16"/>
  <c r="W20" s="1"/>
  <c r="AB16"/>
  <c r="X16"/>
  <c r="K16"/>
  <c r="M16"/>
  <c r="M20" s="1"/>
  <c r="J16"/>
  <c r="J20" s="1"/>
  <c r="S16"/>
  <c r="S20" s="1"/>
  <c r="I20"/>
  <c r="AA16"/>
  <c r="Q16"/>
  <c r="Q20" s="1"/>
  <c r="Z16"/>
  <c r="Z20" s="1"/>
  <c r="Z22" s="1"/>
  <c r="T17"/>
  <c r="R11"/>
  <c r="AB17"/>
  <c r="L17"/>
  <c r="M11"/>
  <c r="M14" s="1"/>
  <c r="K13"/>
  <c r="X13"/>
  <c r="X14" s="1"/>
  <c r="L13"/>
  <c r="L14" s="1"/>
  <c r="P11"/>
  <c r="AA17"/>
  <c r="AB11"/>
  <c r="AH49"/>
  <c r="I27"/>
  <c r="L12"/>
  <c r="AB12"/>
  <c r="N11"/>
  <c r="N14" s="1"/>
  <c r="X17"/>
  <c r="Y11"/>
  <c r="Y14" s="1"/>
  <c r="I11"/>
  <c r="I14" s="1"/>
  <c r="AA12"/>
  <c r="T11"/>
  <c r="AA11"/>
  <c r="I41"/>
  <c r="W11"/>
  <c r="W14" s="1"/>
  <c r="AF49"/>
  <c r="V16" i="46"/>
  <c r="V20" s="1"/>
  <c r="N16"/>
  <c r="N20" s="1"/>
  <c r="O16"/>
  <c r="AB16"/>
  <c r="AB20" s="1"/>
  <c r="L16"/>
  <c r="L20" s="1"/>
  <c r="M16"/>
  <c r="M20" s="1"/>
  <c r="AA16"/>
  <c r="AA20" s="1"/>
  <c r="U16"/>
  <c r="U20" s="1"/>
  <c r="R16"/>
  <c r="R20" s="1"/>
  <c r="K16"/>
  <c r="K20" s="1"/>
  <c r="Y16"/>
  <c r="Y20" s="1"/>
  <c r="I20"/>
  <c r="P16"/>
  <c r="P20" s="1"/>
  <c r="W16"/>
  <c r="W20" s="1"/>
  <c r="Q16"/>
  <c r="Q20" s="1"/>
  <c r="X16"/>
  <c r="X20" s="1"/>
  <c r="Z16"/>
  <c r="Z20" s="1"/>
  <c r="J16"/>
  <c r="J20" s="1"/>
  <c r="S16"/>
  <c r="T16"/>
  <c r="T20" s="1"/>
  <c r="U14"/>
  <c r="U22" s="1"/>
  <c r="AB14"/>
  <c r="AB22" s="1"/>
  <c r="AL22"/>
  <c r="Z14"/>
  <c r="Z22" s="1"/>
  <c r="AC22"/>
  <c r="K14"/>
  <c r="K22" s="1"/>
  <c r="AK22"/>
  <c r="I48"/>
  <c r="I29" s="1"/>
  <c r="O32"/>
  <c r="O33" s="1"/>
  <c r="AB32"/>
  <c r="AB33" s="1"/>
  <c r="U13"/>
  <c r="X13"/>
  <c r="X14" s="1"/>
  <c r="X22" s="1"/>
  <c r="Z32"/>
  <c r="Z33" s="1"/>
  <c r="I32"/>
  <c r="I33" s="1"/>
  <c r="Y12"/>
  <c r="Y14" s="1"/>
  <c r="Y22" s="1"/>
  <c r="I12"/>
  <c r="I14" s="1"/>
  <c r="I22" s="1"/>
  <c r="K13"/>
  <c r="L17"/>
  <c r="R12"/>
  <c r="I49"/>
  <c r="J46" s="1"/>
  <c r="J47" s="1"/>
  <c r="J23" s="1"/>
  <c r="W32"/>
  <c r="W33" s="1"/>
  <c r="T32"/>
  <c r="T33" s="1"/>
  <c r="T12"/>
  <c r="Z12"/>
  <c r="M13"/>
  <c r="J13"/>
  <c r="P13"/>
  <c r="AA32"/>
  <c r="AA33" s="1"/>
  <c r="J32"/>
  <c r="J33" s="1"/>
  <c r="Q32"/>
  <c r="Q33" s="1"/>
  <c r="R32"/>
  <c r="R33" s="1"/>
  <c r="Q12"/>
  <c r="S17"/>
  <c r="T11"/>
  <c r="AA12"/>
  <c r="AA14" s="1"/>
  <c r="AA22" s="1"/>
  <c r="O12"/>
  <c r="O14" s="1"/>
  <c r="AF49"/>
  <c r="L32"/>
  <c r="L33" s="1"/>
  <c r="L12"/>
  <c r="L14" s="1"/>
  <c r="L22" s="1"/>
  <c r="V12"/>
  <c r="V14" s="1"/>
  <c r="V13"/>
  <c r="Z13"/>
  <c r="N32"/>
  <c r="N33" s="1"/>
  <c r="Y32"/>
  <c r="Y33" s="1"/>
  <c r="AB12"/>
  <c r="K12"/>
  <c r="O13"/>
  <c r="V32"/>
  <c r="V33" s="1"/>
  <c r="S32"/>
  <c r="S33" s="1"/>
  <c r="P32"/>
  <c r="P33" s="1"/>
  <c r="P12"/>
  <c r="P14" s="1"/>
  <c r="P22" s="1"/>
  <c r="J12"/>
  <c r="N13"/>
  <c r="Q13"/>
  <c r="R13"/>
  <c r="T13"/>
  <c r="O17"/>
  <c r="M12"/>
  <c r="M14" s="1"/>
  <c r="M22" s="1"/>
  <c r="S13"/>
  <c r="S14" s="1"/>
  <c r="N12"/>
  <c r="M32"/>
  <c r="M33" s="1"/>
  <c r="AD49"/>
  <c r="AL20" i="48"/>
  <c r="AB12"/>
  <c r="S17"/>
  <c r="X17"/>
  <c r="N11"/>
  <c r="R12"/>
  <c r="P12"/>
  <c r="K13"/>
  <c r="AA13"/>
  <c r="Q11"/>
  <c r="AA12"/>
  <c r="M13"/>
  <c r="I11"/>
  <c r="Y11"/>
  <c r="AC11"/>
  <c r="AG11"/>
  <c r="AE13"/>
  <c r="S13"/>
  <c r="Q13"/>
  <c r="AG17"/>
  <c r="I48"/>
  <c r="I49" s="1"/>
  <c r="I23" s="1"/>
  <c r="P13"/>
  <c r="AB13"/>
  <c r="AB14" s="1"/>
  <c r="AH14"/>
  <c r="AI14"/>
  <c r="C43"/>
  <c r="C36"/>
  <c r="I16" s="1"/>
  <c r="L16" s="1"/>
  <c r="Q17"/>
  <c r="N17"/>
  <c r="R17"/>
  <c r="Z17"/>
  <c r="O12"/>
  <c r="V13"/>
  <c r="U13"/>
  <c r="W17"/>
  <c r="AF17"/>
  <c r="AK20"/>
  <c r="W13"/>
  <c r="C44"/>
  <c r="V17"/>
  <c r="N13"/>
  <c r="AC17"/>
  <c r="AI20"/>
  <c r="L13"/>
  <c r="T13"/>
  <c r="AF13"/>
  <c r="AL14"/>
  <c r="AL22" s="1"/>
  <c r="AC13"/>
  <c r="AG12"/>
  <c r="P17"/>
  <c r="U12"/>
  <c r="Q12"/>
  <c r="M12"/>
  <c r="K12"/>
  <c r="T12"/>
  <c r="Y13"/>
  <c r="I13"/>
  <c r="L17"/>
  <c r="AH20"/>
  <c r="J13"/>
  <c r="R13"/>
  <c r="Z13"/>
  <c r="AD13"/>
  <c r="AJ14"/>
  <c r="O13"/>
  <c r="X11"/>
  <c r="Z16"/>
  <c r="Z20" s="1"/>
  <c r="X16"/>
  <c r="M16"/>
  <c r="R16"/>
  <c r="P11"/>
  <c r="AF12"/>
  <c r="AI51"/>
  <c r="U17"/>
  <c r="AB17"/>
  <c r="Q34"/>
  <c r="Q35" s="1"/>
  <c r="U34"/>
  <c r="U35" s="1"/>
  <c r="I34"/>
  <c r="I35" s="1"/>
  <c r="M11"/>
  <c r="M14" s="1"/>
  <c r="J11"/>
  <c r="J14" s="1"/>
  <c r="Z11"/>
  <c r="Y12"/>
  <c r="K11"/>
  <c r="K14" s="1"/>
  <c r="Z12"/>
  <c r="Y34"/>
  <c r="Y35" s="1"/>
  <c r="S12"/>
  <c r="L12"/>
  <c r="X12"/>
  <c r="N34"/>
  <c r="N35" s="1"/>
  <c r="L34"/>
  <c r="L35" s="1"/>
  <c r="O34"/>
  <c r="O35" s="1"/>
  <c r="K17"/>
  <c r="AA17"/>
  <c r="AE34"/>
  <c r="AE35" s="1"/>
  <c r="AG34"/>
  <c r="AG35" s="1"/>
  <c r="T11"/>
  <c r="AD11"/>
  <c r="O11"/>
  <c r="AF11"/>
  <c r="AF14" s="1"/>
  <c r="AE12"/>
  <c r="AD17"/>
  <c r="AD34"/>
  <c r="AD35" s="1"/>
  <c r="AD12"/>
  <c r="AK51"/>
  <c r="AH31"/>
  <c r="M17"/>
  <c r="T17"/>
  <c r="V12"/>
  <c r="V14" s="1"/>
  <c r="U11"/>
  <c r="R11"/>
  <c r="R14" s="1"/>
  <c r="I12"/>
  <c r="I14" s="1"/>
  <c r="J17"/>
  <c r="W12"/>
  <c r="X34"/>
  <c r="X35" s="1"/>
  <c r="V34"/>
  <c r="V35" s="1"/>
  <c r="AB34"/>
  <c r="AB35" s="1"/>
  <c r="W34"/>
  <c r="W35" s="1"/>
  <c r="AE17"/>
  <c r="O17"/>
  <c r="AA11"/>
  <c r="AF34"/>
  <c r="AF35" s="1"/>
  <c r="L11"/>
  <c r="AC12"/>
  <c r="AC14" s="1"/>
  <c r="AE51" i="43"/>
  <c r="AC29" i="46"/>
  <c r="AC49"/>
  <c r="AG51" i="43"/>
  <c r="I23" i="47"/>
  <c r="I50"/>
  <c r="AD51"/>
  <c r="AD31"/>
  <c r="AI49" i="46"/>
  <c r="AK49"/>
  <c r="AJ51" i="48"/>
  <c r="AI51" i="47"/>
  <c r="AI31"/>
  <c r="AI31" i="48"/>
  <c r="I50" l="1"/>
  <c r="I31" s="1"/>
  <c r="I31" i="43"/>
  <c r="AA22" i="47"/>
  <c r="K20"/>
  <c r="M14"/>
  <c r="AD22"/>
  <c r="O14"/>
  <c r="T20"/>
  <c r="T22" s="1"/>
  <c r="L14"/>
  <c r="L22" s="1"/>
  <c r="S14"/>
  <c r="S22" s="1"/>
  <c r="K14"/>
  <c r="K22" s="1"/>
  <c r="AB14"/>
  <c r="AK22"/>
  <c r="V20"/>
  <c r="V22" s="1"/>
  <c r="N22"/>
  <c r="X14"/>
  <c r="I14"/>
  <c r="I22" s="1"/>
  <c r="W20"/>
  <c r="W22" s="1"/>
  <c r="J23" i="45"/>
  <c r="J48"/>
  <c r="P14"/>
  <c r="P22" s="1"/>
  <c r="I29"/>
  <c r="AA14"/>
  <c r="Y22"/>
  <c r="K14"/>
  <c r="K22" s="1"/>
  <c r="R14"/>
  <c r="R22" s="1"/>
  <c r="J22"/>
  <c r="R20"/>
  <c r="AB14"/>
  <c r="N22"/>
  <c r="K20"/>
  <c r="V14"/>
  <c r="V22" s="1"/>
  <c r="T14"/>
  <c r="T22" s="1"/>
  <c r="AA20" i="43"/>
  <c r="L14"/>
  <c r="P14"/>
  <c r="R14"/>
  <c r="J14"/>
  <c r="Z14"/>
  <c r="Z22" s="1"/>
  <c r="AB16"/>
  <c r="AB20" s="1"/>
  <c r="Q16"/>
  <c r="S16"/>
  <c r="S20" s="1"/>
  <c r="S22" s="1"/>
  <c r="P16"/>
  <c r="P20" s="1"/>
  <c r="P22" s="1"/>
  <c r="Z16"/>
  <c r="Z20" s="1"/>
  <c r="AI22"/>
  <c r="J50"/>
  <c r="J51" s="1"/>
  <c r="K48" s="1"/>
  <c r="J23"/>
  <c r="S14"/>
  <c r="U14"/>
  <c r="R20"/>
  <c r="R22" s="1"/>
  <c r="AA14"/>
  <c r="N14"/>
  <c r="AB22"/>
  <c r="W14"/>
  <c r="L16"/>
  <c r="W16"/>
  <c r="W20" s="1"/>
  <c r="O16"/>
  <c r="O20" s="1"/>
  <c r="M16"/>
  <c r="M20" s="1"/>
  <c r="M22" s="1"/>
  <c r="I20"/>
  <c r="U16"/>
  <c r="U20" s="1"/>
  <c r="J16"/>
  <c r="J20" s="1"/>
  <c r="J22" s="1"/>
  <c r="N16"/>
  <c r="N20" s="1"/>
  <c r="N22" s="1"/>
  <c r="X16"/>
  <c r="AC22" i="48"/>
  <c r="X14"/>
  <c r="AF16"/>
  <c r="AE16"/>
  <c r="AE20" s="1"/>
  <c r="W16"/>
  <c r="W20" s="1"/>
  <c r="J16"/>
  <c r="AD16"/>
  <c r="AD20" s="1"/>
  <c r="AG14"/>
  <c r="W14"/>
  <c r="W22" s="1"/>
  <c r="O16"/>
  <c r="AB16"/>
  <c r="I20"/>
  <c r="U16"/>
  <c r="U20" s="1"/>
  <c r="AC16"/>
  <c r="AC20" s="1"/>
  <c r="AJ22"/>
  <c r="V16"/>
  <c r="K16"/>
  <c r="K20" s="1"/>
  <c r="K22" s="1"/>
  <c r="N16"/>
  <c r="N20" s="1"/>
  <c r="N22" s="1"/>
  <c r="Q16"/>
  <c r="S16"/>
  <c r="S20" s="1"/>
  <c r="R20"/>
  <c r="R22" s="1"/>
  <c r="X20"/>
  <c r="X22" s="1"/>
  <c r="I45"/>
  <c r="J43" s="1"/>
  <c r="V20"/>
  <c r="Q20"/>
  <c r="Y14"/>
  <c r="J14" i="46"/>
  <c r="J22" s="1"/>
  <c r="W22"/>
  <c r="Q14" i="48"/>
  <c r="Q22" s="1"/>
  <c r="AK22"/>
  <c r="I43" i="46"/>
  <c r="J41" s="1"/>
  <c r="J42" s="1"/>
  <c r="J24" s="1"/>
  <c r="J25" s="1"/>
  <c r="J28" s="1"/>
  <c r="O14" i="43"/>
  <c r="L20"/>
  <c r="L22" s="1"/>
  <c r="J45"/>
  <c r="K43" s="1"/>
  <c r="X14"/>
  <c r="K14"/>
  <c r="K22" s="1"/>
  <c r="X20"/>
  <c r="I14"/>
  <c r="I22" s="1"/>
  <c r="I25" s="1"/>
  <c r="I30" s="1"/>
  <c r="V14"/>
  <c r="V22" s="1"/>
  <c r="W22"/>
  <c r="Q20"/>
  <c r="Q22" s="1"/>
  <c r="R14" i="47"/>
  <c r="Q20"/>
  <c r="Q22" s="1"/>
  <c r="R20"/>
  <c r="O20"/>
  <c r="J44"/>
  <c r="J24" s="1"/>
  <c r="O22"/>
  <c r="J14"/>
  <c r="J22" s="1"/>
  <c r="M20"/>
  <c r="M22" s="1"/>
  <c r="AB20"/>
  <c r="X20"/>
  <c r="X22" s="1"/>
  <c r="P14"/>
  <c r="P22" s="1"/>
  <c r="I42" i="45"/>
  <c r="I24" s="1"/>
  <c r="AA20"/>
  <c r="AA22" s="1"/>
  <c r="I22"/>
  <c r="AB20"/>
  <c r="AB22" s="1"/>
  <c r="L20"/>
  <c r="L22" s="1"/>
  <c r="W22"/>
  <c r="M22"/>
  <c r="X20"/>
  <c r="X22" s="1"/>
  <c r="O22"/>
  <c r="I25" i="46"/>
  <c r="I28" s="1"/>
  <c r="I30" s="1"/>
  <c r="S22"/>
  <c r="J48"/>
  <c r="V22"/>
  <c r="Q14"/>
  <c r="Q22" s="1"/>
  <c r="N14"/>
  <c r="N22" s="1"/>
  <c r="S20"/>
  <c r="O20"/>
  <c r="O22" s="1"/>
  <c r="T14"/>
  <c r="T22" s="1"/>
  <c r="R14"/>
  <c r="R22" s="1"/>
  <c r="T14" i="48"/>
  <c r="AI22"/>
  <c r="T16"/>
  <c r="T20" s="1"/>
  <c r="AA16"/>
  <c r="P16"/>
  <c r="AG16"/>
  <c r="AG20" s="1"/>
  <c r="AG22" s="1"/>
  <c r="Y16"/>
  <c r="Y20" s="1"/>
  <c r="N14"/>
  <c r="AA14"/>
  <c r="AE14"/>
  <c r="AE22" s="1"/>
  <c r="U14"/>
  <c r="AD14"/>
  <c r="AD22" s="1"/>
  <c r="AF20"/>
  <c r="AF22" s="1"/>
  <c r="AB20"/>
  <c r="AB22" s="1"/>
  <c r="L14"/>
  <c r="L22" s="1"/>
  <c r="O14"/>
  <c r="S14"/>
  <c r="S22" s="1"/>
  <c r="P14"/>
  <c r="P20"/>
  <c r="L20"/>
  <c r="I22"/>
  <c r="I25" s="1"/>
  <c r="AH22"/>
  <c r="Z14"/>
  <c r="Z22" s="1"/>
  <c r="J20"/>
  <c r="J22" s="1"/>
  <c r="J44"/>
  <c r="J24" s="1"/>
  <c r="AA20"/>
  <c r="V22"/>
  <c r="O20"/>
  <c r="M20"/>
  <c r="M22" s="1"/>
  <c r="I25" i="47"/>
  <c r="J49" i="45"/>
  <c r="K46" s="1"/>
  <c r="J29"/>
  <c r="I51" i="47"/>
  <c r="J48" s="1"/>
  <c r="I31"/>
  <c r="I51" i="48"/>
  <c r="J48" s="1"/>
  <c r="J31" i="43" l="1"/>
  <c r="I32"/>
  <c r="I36" s="1"/>
  <c r="I39" s="1"/>
  <c r="J25"/>
  <c r="J28" s="1"/>
  <c r="J29" s="1"/>
  <c r="AB22" i="47"/>
  <c r="R22"/>
  <c r="J45"/>
  <c r="K43" s="1"/>
  <c r="AA22" i="43"/>
  <c r="X22"/>
  <c r="U22"/>
  <c r="T22" i="48"/>
  <c r="AA22"/>
  <c r="Y22"/>
  <c r="I28" i="43"/>
  <c r="O22" i="48"/>
  <c r="K45" i="43"/>
  <c r="L43" s="1"/>
  <c r="K44"/>
  <c r="K24" s="1"/>
  <c r="O22"/>
  <c r="K44" i="47"/>
  <c r="K24" s="1"/>
  <c r="I25" i="45"/>
  <c r="I28" s="1"/>
  <c r="I30" s="1"/>
  <c r="I43"/>
  <c r="J41" s="1"/>
  <c r="I36" i="46"/>
  <c r="I34"/>
  <c r="I37" s="1"/>
  <c r="J49"/>
  <c r="K46" s="1"/>
  <c r="K47" s="1"/>
  <c r="K23" s="1"/>
  <c r="J29"/>
  <c r="J30" s="1"/>
  <c r="J43"/>
  <c r="K41" s="1"/>
  <c r="U22" i="48"/>
  <c r="P22"/>
  <c r="J45"/>
  <c r="K43" s="1"/>
  <c r="K49" i="43"/>
  <c r="I30" i="48"/>
  <c r="I32" s="1"/>
  <c r="I28"/>
  <c r="J49" i="47"/>
  <c r="K47" i="45"/>
  <c r="I30" i="47"/>
  <c r="I32" s="1"/>
  <c r="I28"/>
  <c r="I38" i="43"/>
  <c r="J49" i="48"/>
  <c r="K48" i="46" l="1"/>
  <c r="K49" s="1"/>
  <c r="L46" s="1"/>
  <c r="K45" i="47"/>
  <c r="L43" s="1"/>
  <c r="L44" i="43"/>
  <c r="L24" s="1"/>
  <c r="I34" i="45"/>
  <c r="I37" s="1"/>
  <c r="I36"/>
  <c r="J42"/>
  <c r="J24" s="1"/>
  <c r="J25" s="1"/>
  <c r="J28" s="1"/>
  <c r="J30" s="1"/>
  <c r="J34" i="46"/>
  <c r="J37" s="1"/>
  <c r="J36"/>
  <c r="K42"/>
  <c r="K24" s="1"/>
  <c r="K25" s="1"/>
  <c r="K28" s="1"/>
  <c r="K44" i="48"/>
  <c r="K24" s="1"/>
  <c r="K50" i="43"/>
  <c r="K23"/>
  <c r="K29" i="46"/>
  <c r="K48" i="45"/>
  <c r="K23"/>
  <c r="J50" i="47"/>
  <c r="J23"/>
  <c r="I36" i="48"/>
  <c r="I39" s="1"/>
  <c r="I38"/>
  <c r="J50"/>
  <c r="J23"/>
  <c r="I38" i="47"/>
  <c r="I36"/>
  <c r="I39" s="1"/>
  <c r="J30" i="43"/>
  <c r="J32" s="1"/>
  <c r="K30" i="46" l="1"/>
  <c r="K36" s="1"/>
  <c r="L45" i="47"/>
  <c r="M43" s="1"/>
  <c r="M44" s="1"/>
  <c r="L44"/>
  <c r="L24" s="1"/>
  <c r="L45" i="43"/>
  <c r="M43" s="1"/>
  <c r="M44" s="1"/>
  <c r="M24" s="1"/>
  <c r="J43" i="45"/>
  <c r="K41" s="1"/>
  <c r="K42" s="1"/>
  <c r="K24" s="1"/>
  <c r="K25" s="1"/>
  <c r="K28" s="1"/>
  <c r="J36"/>
  <c r="J34"/>
  <c r="J37" s="1"/>
  <c r="K43" i="46"/>
  <c r="L41" s="1"/>
  <c r="K45" i="48"/>
  <c r="L43" s="1"/>
  <c r="L44" s="1"/>
  <c r="L24" s="1"/>
  <c r="J36" i="43"/>
  <c r="J39" s="1"/>
  <c r="J38"/>
  <c r="J31" i="48"/>
  <c r="J51"/>
  <c r="K48" s="1"/>
  <c r="J25"/>
  <c r="J31" i="47"/>
  <c r="J51"/>
  <c r="K48" s="1"/>
  <c r="K29" i="45"/>
  <c r="K49"/>
  <c r="L46" s="1"/>
  <c r="K31" i="43"/>
  <c r="K51"/>
  <c r="L48" s="1"/>
  <c r="J25" i="47"/>
  <c r="K25" i="43"/>
  <c r="L47" i="46"/>
  <c r="K34" l="1"/>
  <c r="K37" s="1"/>
  <c r="K30" i="45"/>
  <c r="K34" s="1"/>
  <c r="K37" s="1"/>
  <c r="M24" i="47"/>
  <c r="M45"/>
  <c r="N43" s="1"/>
  <c r="M45" i="43"/>
  <c r="N43" s="1"/>
  <c r="N44" s="1"/>
  <c r="N24" s="1"/>
  <c r="L45" i="48"/>
  <c r="M43" s="1"/>
  <c r="M44" s="1"/>
  <c r="M24" s="1"/>
  <c r="N44" i="47"/>
  <c r="N24" s="1"/>
  <c r="K43" i="45"/>
  <c r="L41" s="1"/>
  <c r="L42" i="46"/>
  <c r="L24" s="1"/>
  <c r="K36" i="45"/>
  <c r="L48" i="46"/>
  <c r="L23"/>
  <c r="J28" i="47"/>
  <c r="J29" s="1"/>
  <c r="J30" s="1"/>
  <c r="J32" s="1"/>
  <c r="L47" i="45"/>
  <c r="J28" i="48"/>
  <c r="J29" s="1"/>
  <c r="J30" s="1"/>
  <c r="J32" s="1"/>
  <c r="K28" i="43"/>
  <c r="K29" s="1"/>
  <c r="K30" s="1"/>
  <c r="K32" s="1"/>
  <c r="L49"/>
  <c r="K49" i="47"/>
  <c r="K49" i="48"/>
  <c r="N45" i="47" l="1"/>
  <c r="O43" s="1"/>
  <c r="O44" s="1"/>
  <c r="O24" s="1"/>
  <c r="N45" i="43"/>
  <c r="O43" s="1"/>
  <c r="O44" s="1"/>
  <c r="O24" s="1"/>
  <c r="L42" i="45"/>
  <c r="L24" s="1"/>
  <c r="L43" i="46"/>
  <c r="M41" s="1"/>
  <c r="M45" i="48"/>
  <c r="N43" s="1"/>
  <c r="K36" i="43"/>
  <c r="K39" s="1"/>
  <c r="K38"/>
  <c r="J36" i="47"/>
  <c r="J39" s="1"/>
  <c r="J38"/>
  <c r="K50" i="48"/>
  <c r="K23"/>
  <c r="L50" i="43"/>
  <c r="L23"/>
  <c r="L29" i="46"/>
  <c r="L49"/>
  <c r="M46" s="1"/>
  <c r="J38" i="48"/>
  <c r="J36"/>
  <c r="J39" s="1"/>
  <c r="K50" i="47"/>
  <c r="K23"/>
  <c r="L48" i="45"/>
  <c r="L23"/>
  <c r="L25" i="46"/>
  <c r="L28" s="1"/>
  <c r="L30" s="1"/>
  <c r="N44" i="48" l="1"/>
  <c r="N24" s="1"/>
  <c r="O45" i="43"/>
  <c r="P43" s="1"/>
  <c r="P44" s="1"/>
  <c r="P24" s="1"/>
  <c r="O45" i="47"/>
  <c r="P43" s="1"/>
  <c r="P44" s="1"/>
  <c r="P24" s="1"/>
  <c r="L43" i="45"/>
  <c r="M41" s="1"/>
  <c r="M42" i="46"/>
  <c r="M24" s="1"/>
  <c r="L29" i="45"/>
  <c r="L49"/>
  <c r="M46" s="1"/>
  <c r="K31" i="48"/>
  <c r="K51"/>
  <c r="L48" s="1"/>
  <c r="L36" i="46"/>
  <c r="L34"/>
  <c r="L37" s="1"/>
  <c r="K25" i="47"/>
  <c r="L25" i="43"/>
  <c r="M47" i="46"/>
  <c r="K25" i="48"/>
  <c r="L25" i="45"/>
  <c r="L28" s="1"/>
  <c r="K31" i="47"/>
  <c r="K51"/>
  <c r="L48" s="1"/>
  <c r="L31" i="43"/>
  <c r="L51"/>
  <c r="M48" s="1"/>
  <c r="L30" i="45" l="1"/>
  <c r="L36" s="1"/>
  <c r="N45" i="48"/>
  <c r="O43" s="1"/>
  <c r="O44" s="1"/>
  <c r="O24" s="1"/>
  <c r="P45" i="47"/>
  <c r="Q43" s="1"/>
  <c r="Q44" s="1"/>
  <c r="Q24" s="1"/>
  <c r="P45" i="43"/>
  <c r="Q43" s="1"/>
  <c r="M42" i="45"/>
  <c r="M24" s="1"/>
  <c r="M43" i="46"/>
  <c r="N41" s="1"/>
  <c r="O45" i="48"/>
  <c r="P43" s="1"/>
  <c r="P44" s="1"/>
  <c r="P24" s="1"/>
  <c r="M48" i="46"/>
  <c r="M23"/>
  <c r="K28" i="47"/>
  <c r="K29" s="1"/>
  <c r="K30" s="1"/>
  <c r="K32" s="1"/>
  <c r="L49"/>
  <c r="M47" i="45"/>
  <c r="K28" i="48"/>
  <c r="K29" s="1"/>
  <c r="K30" s="1"/>
  <c r="K32" s="1"/>
  <c r="L28" i="43"/>
  <c r="L29" s="1"/>
  <c r="L30" s="1"/>
  <c r="L32" s="1"/>
  <c r="M49"/>
  <c r="L34" i="45"/>
  <c r="L37" s="1"/>
  <c r="L49" i="48"/>
  <c r="Q45" i="47" l="1"/>
  <c r="R43" s="1"/>
  <c r="R44" s="1"/>
  <c r="R24" s="1"/>
  <c r="Q44" i="43"/>
  <c r="Q24" s="1"/>
  <c r="M43" i="45"/>
  <c r="N41" s="1"/>
  <c r="N42" i="46"/>
  <c r="N24" s="1"/>
  <c r="P45" i="48"/>
  <c r="Q43" s="1"/>
  <c r="L36" i="43"/>
  <c r="L39" s="1"/>
  <c r="L38"/>
  <c r="K38" i="47"/>
  <c r="K36"/>
  <c r="K39" s="1"/>
  <c r="L50"/>
  <c r="L23"/>
  <c r="M29" i="46"/>
  <c r="M49"/>
  <c r="N46" s="1"/>
  <c r="L50" i="48"/>
  <c r="L23"/>
  <c r="K38"/>
  <c r="K36"/>
  <c r="K39" s="1"/>
  <c r="M25" i="46"/>
  <c r="M28" s="1"/>
  <c r="M30" s="1"/>
  <c r="M50" i="43"/>
  <c r="M23"/>
  <c r="M48" i="45"/>
  <c r="M23"/>
  <c r="N43" i="46" l="1"/>
  <c r="O41" s="1"/>
  <c r="R45" i="47"/>
  <c r="S43" s="1"/>
  <c r="S44" s="1"/>
  <c r="S24" s="1"/>
  <c r="Q45" i="43"/>
  <c r="R43" s="1"/>
  <c r="N42" i="45"/>
  <c r="N24" s="1"/>
  <c r="O42" i="46"/>
  <c r="O24" s="1"/>
  <c r="O43"/>
  <c r="P41" s="1"/>
  <c r="Q44" i="48"/>
  <c r="Q24" s="1"/>
  <c r="M25" i="43"/>
  <c r="M36" i="46"/>
  <c r="M34"/>
  <c r="M37" s="1"/>
  <c r="L25" i="48"/>
  <c r="N47" i="46"/>
  <c r="M31" i="43"/>
  <c r="M51"/>
  <c r="N48" s="1"/>
  <c r="L31" i="47"/>
  <c r="L51"/>
  <c r="M48" s="1"/>
  <c r="L25"/>
  <c r="M29" i="45"/>
  <c r="M49"/>
  <c r="N46" s="1"/>
  <c r="L31" i="48"/>
  <c r="L51"/>
  <c r="M48" s="1"/>
  <c r="M25" i="45"/>
  <c r="M28" s="1"/>
  <c r="M30" s="1"/>
  <c r="S45" i="47" l="1"/>
  <c r="T43" s="1"/>
  <c r="T44" s="1"/>
  <c r="R44" i="43"/>
  <c r="R24" s="1"/>
  <c r="N43" i="45"/>
  <c r="O41" s="1"/>
  <c r="P42" i="46"/>
  <c r="P24" s="1"/>
  <c r="P43"/>
  <c r="Q41" s="1"/>
  <c r="Q45" i="48"/>
  <c r="R43" s="1"/>
  <c r="R44" s="1"/>
  <c r="R24" s="1"/>
  <c r="M34" i="45"/>
  <c r="M37" s="1"/>
  <c r="M36"/>
  <c r="N47"/>
  <c r="L28" i="47"/>
  <c r="L29" s="1"/>
  <c r="L30" s="1"/>
  <c r="L32" s="1"/>
  <c r="N49" i="43"/>
  <c r="L28" i="48"/>
  <c r="L29" s="1"/>
  <c r="L30" s="1"/>
  <c r="L32" s="1"/>
  <c r="M28" i="43"/>
  <c r="M29" s="1"/>
  <c r="M30" s="1"/>
  <c r="M32" s="1"/>
  <c r="M49" i="48"/>
  <c r="N48" i="46"/>
  <c r="N23"/>
  <c r="M49" i="47"/>
  <c r="T24" l="1"/>
  <c r="T45"/>
  <c r="U43" s="1"/>
  <c r="U44" s="1"/>
  <c r="U24" s="1"/>
  <c r="R45" i="43"/>
  <c r="S43" s="1"/>
  <c r="O42" i="45"/>
  <c r="O24" s="1"/>
  <c r="Q42" i="46"/>
  <c r="Q24" s="1"/>
  <c r="R45" i="48"/>
  <c r="S43" s="1"/>
  <c r="L38" i="47"/>
  <c r="L36"/>
  <c r="L39" s="1"/>
  <c r="L36" i="48"/>
  <c r="L39" s="1"/>
  <c r="L38"/>
  <c r="N25" i="46"/>
  <c r="N28" s="1"/>
  <c r="M50" i="47"/>
  <c r="M23"/>
  <c r="M50" i="48"/>
  <c r="M23"/>
  <c r="N29" i="46"/>
  <c r="N49"/>
  <c r="O46" s="1"/>
  <c r="N23" i="43"/>
  <c r="N50"/>
  <c r="N48" i="45"/>
  <c r="N23"/>
  <c r="M36" i="43"/>
  <c r="M39" s="1"/>
  <c r="M38"/>
  <c r="O43" i="45" l="1"/>
  <c r="P41" s="1"/>
  <c r="Q43" i="46"/>
  <c r="R41" s="1"/>
  <c r="U45" i="47"/>
  <c r="V43" s="1"/>
  <c r="V44" s="1"/>
  <c r="S44" i="43"/>
  <c r="S24" s="1"/>
  <c r="R42" i="46"/>
  <c r="R24" s="1"/>
  <c r="N30"/>
  <c r="N34" s="1"/>
  <c r="N37" s="1"/>
  <c r="S44" i="48"/>
  <c r="S24" s="1"/>
  <c r="O47" i="46"/>
  <c r="N25" i="43"/>
  <c r="M25" i="48"/>
  <c r="N31" i="43"/>
  <c r="N51"/>
  <c r="O48" s="1"/>
  <c r="M31" i="47"/>
  <c r="M51"/>
  <c r="N48" s="1"/>
  <c r="N25" i="45"/>
  <c r="N28" s="1"/>
  <c r="M31" i="48"/>
  <c r="M51"/>
  <c r="N48" s="1"/>
  <c r="N29" i="45"/>
  <c r="N49"/>
  <c r="O46" s="1"/>
  <c r="M25" i="47"/>
  <c r="V24" l="1"/>
  <c r="V45"/>
  <c r="W43" s="1"/>
  <c r="W44" s="1"/>
  <c r="W24" s="1"/>
  <c r="N36" i="46"/>
  <c r="P42" i="45"/>
  <c r="P24" s="1"/>
  <c r="S45" i="43"/>
  <c r="T43" s="1"/>
  <c r="T44" s="1"/>
  <c r="T24" s="1"/>
  <c r="N30" i="45"/>
  <c r="N34" s="1"/>
  <c r="N37" s="1"/>
  <c r="R43" i="46"/>
  <c r="S41" s="1"/>
  <c r="S45" i="48"/>
  <c r="T43" s="1"/>
  <c r="N36" i="45"/>
  <c r="N28" i="43"/>
  <c r="N29" s="1"/>
  <c r="N30" s="1"/>
  <c r="N32" s="1"/>
  <c r="O47" i="45"/>
  <c r="O49" i="43"/>
  <c r="M28" i="47"/>
  <c r="M29" s="1"/>
  <c r="M30" s="1"/>
  <c r="M32" s="1"/>
  <c r="N49" i="48"/>
  <c r="N49" i="47"/>
  <c r="M28" i="48"/>
  <c r="M29" s="1"/>
  <c r="M30" s="1"/>
  <c r="M32" s="1"/>
  <c r="O48" i="46"/>
  <c r="O23"/>
  <c r="W45" i="47" l="1"/>
  <c r="X43" s="1"/>
  <c r="X44" s="1"/>
  <c r="X24" s="1"/>
  <c r="P43" i="45"/>
  <c r="Q41" s="1"/>
  <c r="T45" i="43"/>
  <c r="U43" s="1"/>
  <c r="S42" i="46"/>
  <c r="S24" s="1"/>
  <c r="T44" i="48"/>
  <c r="T24" s="1"/>
  <c r="M38" i="47"/>
  <c r="M36"/>
  <c r="M39" s="1"/>
  <c r="M36" i="48"/>
  <c r="M39" s="1"/>
  <c r="M38"/>
  <c r="N36" i="43"/>
  <c r="N39" s="1"/>
  <c r="N38"/>
  <c r="O29" i="46"/>
  <c r="O49"/>
  <c r="P46" s="1"/>
  <c r="O48" i="45"/>
  <c r="O23"/>
  <c r="O25" i="46"/>
  <c r="O28" s="1"/>
  <c r="O30" s="1"/>
  <c r="N50" i="47"/>
  <c r="N23"/>
  <c r="O23" i="43"/>
  <c r="O50"/>
  <c r="N50" i="48"/>
  <c r="N23"/>
  <c r="Q42" i="45" l="1"/>
  <c r="Q24" s="1"/>
  <c r="S43" i="46"/>
  <c r="T41" s="1"/>
  <c r="T43" s="1"/>
  <c r="U41" s="1"/>
  <c r="X45" i="47"/>
  <c r="Y43" s="1"/>
  <c r="Y44" s="1"/>
  <c r="Y24" s="1"/>
  <c r="U44" i="43"/>
  <c r="U24" s="1"/>
  <c r="T42" i="46"/>
  <c r="T24" s="1"/>
  <c r="T45" i="48"/>
  <c r="U43" s="1"/>
  <c r="U44" s="1"/>
  <c r="U24" s="1"/>
  <c r="O34" i="46"/>
  <c r="O37" s="1"/>
  <c r="O36"/>
  <c r="N31" i="47"/>
  <c r="N51"/>
  <c r="O48" s="1"/>
  <c r="O29" i="45"/>
  <c r="O49"/>
  <c r="P46" s="1"/>
  <c r="N31" i="48"/>
  <c r="N51"/>
  <c r="O48" s="1"/>
  <c r="N25" i="47"/>
  <c r="O25" i="45"/>
  <c r="O28" s="1"/>
  <c r="N25" i="48"/>
  <c r="O25" i="43"/>
  <c r="O31"/>
  <c r="O51"/>
  <c r="P48" s="1"/>
  <c r="P47" i="46"/>
  <c r="Q43" i="45" l="1"/>
  <c r="R41" s="1"/>
  <c r="U45" i="43"/>
  <c r="V43" s="1"/>
  <c r="Y45" i="47"/>
  <c r="Z43" s="1"/>
  <c r="O30" i="45"/>
  <c r="O34" s="1"/>
  <c r="O37" s="1"/>
  <c r="U42" i="46"/>
  <c r="U24" s="1"/>
  <c r="U45" i="48"/>
  <c r="V43" s="1"/>
  <c r="V44" s="1"/>
  <c r="V24" s="1"/>
  <c r="P49" i="43"/>
  <c r="O28"/>
  <c r="O29" s="1"/>
  <c r="N28" i="48"/>
  <c r="N29" s="1"/>
  <c r="N30" s="1"/>
  <c r="N32" s="1"/>
  <c r="N28" i="47"/>
  <c r="N29" s="1"/>
  <c r="N30" s="1"/>
  <c r="N32" s="1"/>
  <c r="P47" i="45"/>
  <c r="P48" i="46"/>
  <c r="P23"/>
  <c r="O49" i="48"/>
  <c r="O49" i="47"/>
  <c r="R42" i="45" l="1"/>
  <c r="R24" s="1"/>
  <c r="O36"/>
  <c r="V44" i="43"/>
  <c r="V24" s="1"/>
  <c r="Z44" i="47"/>
  <c r="Z24" s="1"/>
  <c r="U43" i="46"/>
  <c r="V41" s="1"/>
  <c r="V45" i="48"/>
  <c r="W43" s="1"/>
  <c r="W44" s="1"/>
  <c r="W24" s="1"/>
  <c r="N36" i="47"/>
  <c r="N39" s="1"/>
  <c r="N38"/>
  <c r="N36" i="48"/>
  <c r="N39" s="1"/>
  <c r="N38"/>
  <c r="P25" i="46"/>
  <c r="P28" s="1"/>
  <c r="O30" i="43"/>
  <c r="O32" s="1"/>
  <c r="O23" i="48"/>
  <c r="O50"/>
  <c r="P48" i="45"/>
  <c r="P23"/>
  <c r="O50" i="47"/>
  <c r="O23"/>
  <c r="P29" i="46"/>
  <c r="P49"/>
  <c r="Q46" s="1"/>
  <c r="P50" i="43"/>
  <c r="P23"/>
  <c r="R43" i="45" l="1"/>
  <c r="S41" s="1"/>
  <c r="Z45" i="47"/>
  <c r="AA43" s="1"/>
  <c r="AA44" s="1"/>
  <c r="AA24" s="1"/>
  <c r="V45" i="43"/>
  <c r="W43" s="1"/>
  <c r="V42" i="46"/>
  <c r="V24" s="1"/>
  <c r="P30"/>
  <c r="P36" s="1"/>
  <c r="W45" i="48"/>
  <c r="X43" s="1"/>
  <c r="X44" s="1"/>
  <c r="X24" s="1"/>
  <c r="P31" i="43"/>
  <c r="P51"/>
  <c r="Q48" s="1"/>
  <c r="O31" i="48"/>
  <c r="O51"/>
  <c r="P48" s="1"/>
  <c r="P25" i="45"/>
  <c r="P28" s="1"/>
  <c r="Q47" i="46"/>
  <c r="O25" i="48"/>
  <c r="P25" i="43"/>
  <c r="O25" i="47"/>
  <c r="P29" i="45"/>
  <c r="P49"/>
  <c r="Q46" s="1"/>
  <c r="O31" i="47"/>
  <c r="O51"/>
  <c r="P48" s="1"/>
  <c r="O38" i="43"/>
  <c r="O36"/>
  <c r="O39" s="1"/>
  <c r="P30" i="45" l="1"/>
  <c r="P34" s="1"/>
  <c r="P37" s="1"/>
  <c r="S42"/>
  <c r="S24" s="1"/>
  <c r="P34" i="46"/>
  <c r="P37" s="1"/>
  <c r="AA45" i="47"/>
  <c r="AB43" s="1"/>
  <c r="AB44" s="1"/>
  <c r="V43" i="46"/>
  <c r="W41" s="1"/>
  <c r="W42" s="1"/>
  <c r="W24" s="1"/>
  <c r="W44" i="43"/>
  <c r="W24" s="1"/>
  <c r="X45" i="48"/>
  <c r="Y43" s="1"/>
  <c r="P49" i="47"/>
  <c r="O28"/>
  <c r="O29" s="1"/>
  <c r="O30" s="1"/>
  <c r="O32" s="1"/>
  <c r="P28" i="43"/>
  <c r="P29" s="1"/>
  <c r="Q23" i="46"/>
  <c r="Q48"/>
  <c r="P49" i="48"/>
  <c r="O28"/>
  <c r="O29" s="1"/>
  <c r="O30" s="1"/>
  <c r="O32" s="1"/>
  <c r="Q47" i="45"/>
  <c r="Q49" i="43"/>
  <c r="P36" i="45" l="1"/>
  <c r="S43"/>
  <c r="T41" s="1"/>
  <c r="AB24" i="47"/>
  <c r="AB45"/>
  <c r="AC43" s="1"/>
  <c r="W45" i="43"/>
  <c r="X43" s="1"/>
  <c r="X44"/>
  <c r="X24" s="1"/>
  <c r="AC44" i="47"/>
  <c r="AC24" s="1"/>
  <c r="AC25" s="1"/>
  <c r="W43" i="46"/>
  <c r="X41" s="1"/>
  <c r="Y44" i="48"/>
  <c r="Y24" s="1"/>
  <c r="O38" i="47"/>
  <c r="O36"/>
  <c r="O39" s="1"/>
  <c r="O36" i="48"/>
  <c r="O39" s="1"/>
  <c r="O38"/>
  <c r="Q50" i="43"/>
  <c r="Q23"/>
  <c r="P50" i="47"/>
  <c r="P23"/>
  <c r="Q29" i="46"/>
  <c r="Q49"/>
  <c r="R46" s="1"/>
  <c r="Q25"/>
  <c r="Q28" s="1"/>
  <c r="P50" i="48"/>
  <c r="P23"/>
  <c r="Q48" i="45"/>
  <c r="Q23"/>
  <c r="P30" i="43"/>
  <c r="P32" s="1"/>
  <c r="Q30" i="46" l="1"/>
  <c r="Q36" s="1"/>
  <c r="AC45" i="47"/>
  <c r="AD43" s="1"/>
  <c r="AD44" s="1"/>
  <c r="AD24" s="1"/>
  <c r="AD25" s="1"/>
  <c r="T42" i="45"/>
  <c r="T24" s="1"/>
  <c r="X45" i="43"/>
  <c r="Y43" s="1"/>
  <c r="AC30" i="47"/>
  <c r="AC32" s="1"/>
  <c r="AC36" s="1"/>
  <c r="AC28"/>
  <c r="X42" i="46"/>
  <c r="X24" s="1"/>
  <c r="Y45" i="48"/>
  <c r="Z43" s="1"/>
  <c r="Q34" i="46"/>
  <c r="Q37" s="1"/>
  <c r="P31" i="48"/>
  <c r="P51"/>
  <c r="Q48" s="1"/>
  <c r="Q31" i="43"/>
  <c r="Q51"/>
  <c r="R48" s="1"/>
  <c r="Q25" i="45"/>
  <c r="Q28" s="1"/>
  <c r="P25" i="48"/>
  <c r="R47" i="46"/>
  <c r="Q25" i="43"/>
  <c r="Q29" i="45"/>
  <c r="Q49"/>
  <c r="R46" s="1"/>
  <c r="P31" i="47"/>
  <c r="P51"/>
  <c r="Q48" s="1"/>
  <c r="P36" i="43"/>
  <c r="P39" s="1"/>
  <c r="P38"/>
  <c r="P25" i="47"/>
  <c r="Q30" i="45" l="1"/>
  <c r="T43"/>
  <c r="U41" s="1"/>
  <c r="U43" s="1"/>
  <c r="V41" s="1"/>
  <c r="U42"/>
  <c r="U24" s="1"/>
  <c r="Y44" i="43"/>
  <c r="Y24" s="1"/>
  <c r="AD28" i="47"/>
  <c r="AD30"/>
  <c r="AD32" s="1"/>
  <c r="AD36" s="1"/>
  <c r="AD45"/>
  <c r="AE43" s="1"/>
  <c r="X43" i="46"/>
  <c r="Y41" s="1"/>
  <c r="Z44" i="48"/>
  <c r="Z24" s="1"/>
  <c r="Q34" i="45"/>
  <c r="Q37" s="1"/>
  <c r="Q36"/>
  <c r="P28" i="47"/>
  <c r="P29" s="1"/>
  <c r="Q49"/>
  <c r="P28" i="48"/>
  <c r="P29" s="1"/>
  <c r="R49" i="43"/>
  <c r="R48" i="46"/>
  <c r="R23"/>
  <c r="Q28" i="43"/>
  <c r="Q29" s="1"/>
  <c r="Q30" s="1"/>
  <c r="Q32" s="1"/>
  <c r="R47" i="45"/>
  <c r="Q49" i="48"/>
  <c r="V42" i="45" l="1"/>
  <c r="V24" s="1"/>
  <c r="Y45" i="43"/>
  <c r="Z43" s="1"/>
  <c r="AE44" i="47"/>
  <c r="AE24" s="1"/>
  <c r="AE25" s="1"/>
  <c r="Y42" i="46"/>
  <c r="Y24" s="1"/>
  <c r="Z45" i="48"/>
  <c r="AA43" s="1"/>
  <c r="Q50"/>
  <c r="Q23"/>
  <c r="Q50" i="47"/>
  <c r="Q23"/>
  <c r="Q36" i="43"/>
  <c r="Q39" s="1"/>
  <c r="Q38"/>
  <c r="R48" i="45"/>
  <c r="R23"/>
  <c r="R29" i="46"/>
  <c r="R49"/>
  <c r="S46" s="1"/>
  <c r="R23" i="43"/>
  <c r="R50"/>
  <c r="R25" i="46"/>
  <c r="R28" s="1"/>
  <c r="R30" s="1"/>
  <c r="P30" i="48"/>
  <c r="P32" s="1"/>
  <c r="P30" i="47"/>
  <c r="P32" s="1"/>
  <c r="V43" i="45" l="1"/>
  <c r="W41" s="1"/>
  <c r="AE45" i="47"/>
  <c r="AF43" s="1"/>
  <c r="AF44" s="1"/>
  <c r="AF24" s="1"/>
  <c r="AF25" s="1"/>
  <c r="Z44" i="43"/>
  <c r="Z24" s="1"/>
  <c r="AE30" i="47"/>
  <c r="AE32" s="1"/>
  <c r="AE36" s="1"/>
  <c r="AE28"/>
  <c r="Y43" i="46"/>
  <c r="Z41" s="1"/>
  <c r="AA44" i="48"/>
  <c r="AA24" s="1"/>
  <c r="R34" i="46"/>
  <c r="R37" s="1"/>
  <c r="R36"/>
  <c r="P36" i="48"/>
  <c r="P39" s="1"/>
  <c r="P38"/>
  <c r="R31" i="43"/>
  <c r="R51"/>
  <c r="S48" s="1"/>
  <c r="Q25" i="48"/>
  <c r="Q31"/>
  <c r="Q51"/>
  <c r="R48" s="1"/>
  <c r="Q31" i="47"/>
  <c r="Q51"/>
  <c r="R48" s="1"/>
  <c r="R25" i="43"/>
  <c r="R25" i="45"/>
  <c r="R28" s="1"/>
  <c r="P38" i="47"/>
  <c r="P36"/>
  <c r="P39" s="1"/>
  <c r="S47" i="46"/>
  <c r="R29" i="45"/>
  <c r="R49"/>
  <c r="S46" s="1"/>
  <c r="Q25" i="47"/>
  <c r="R30" i="45" l="1"/>
  <c r="R34" s="1"/>
  <c r="R37" s="1"/>
  <c r="W42"/>
  <c r="W24" s="1"/>
  <c r="AA45" i="48"/>
  <c r="AB43" s="1"/>
  <c r="AB44" s="1"/>
  <c r="AB24" s="1"/>
  <c r="AF45" i="47"/>
  <c r="AG43" s="1"/>
  <c r="AG44" s="1"/>
  <c r="AG24" s="1"/>
  <c r="AG25" s="1"/>
  <c r="Z45" i="43"/>
  <c r="AA43" s="1"/>
  <c r="AF30" i="47"/>
  <c r="AF32" s="1"/>
  <c r="AF36" s="1"/>
  <c r="AF28"/>
  <c r="Z42" i="46"/>
  <c r="Z24" s="1"/>
  <c r="S47" i="45"/>
  <c r="R28" i="43"/>
  <c r="R29" s="1"/>
  <c r="R49" i="48"/>
  <c r="S49" i="43"/>
  <c r="Q28" i="47"/>
  <c r="Q29" s="1"/>
  <c r="S48" i="46"/>
  <c r="S23"/>
  <c r="Q28" i="48"/>
  <c r="Q29" s="1"/>
  <c r="R49" i="47"/>
  <c r="R36" i="45" l="1"/>
  <c r="W43"/>
  <c r="X41" s="1"/>
  <c r="AG45" i="47"/>
  <c r="AH43" s="1"/>
  <c r="AH44" s="1"/>
  <c r="AH24" s="1"/>
  <c r="AH25" s="1"/>
  <c r="AA44" i="43"/>
  <c r="AA24" s="1"/>
  <c r="AG28" i="47"/>
  <c r="AG30"/>
  <c r="AG32" s="1"/>
  <c r="AG36" s="1"/>
  <c r="Z43" i="46"/>
  <c r="AA41" s="1"/>
  <c r="AB45" i="48"/>
  <c r="AC43" s="1"/>
  <c r="R50" i="47"/>
  <c r="R23"/>
  <c r="S25" i="46"/>
  <c r="S28" s="1"/>
  <c r="S23" i="43"/>
  <c r="S50"/>
  <c r="R30"/>
  <c r="R32" s="1"/>
  <c r="S29" i="46"/>
  <c r="S49"/>
  <c r="T46" s="1"/>
  <c r="R50" i="48"/>
  <c r="R23"/>
  <c r="S48" i="45"/>
  <c r="S23"/>
  <c r="Q30" i="48"/>
  <c r="Q32" s="1"/>
  <c r="Q30" i="47"/>
  <c r="Q32" s="1"/>
  <c r="S30" i="46" l="1"/>
  <c r="X42" i="45"/>
  <c r="X24" s="1"/>
  <c r="AH45" i="47"/>
  <c r="AI43" s="1"/>
  <c r="AI44" s="1"/>
  <c r="AI24" s="1"/>
  <c r="AI25" s="1"/>
  <c r="AA45" i="43"/>
  <c r="AB43" s="1"/>
  <c r="AH30" i="47"/>
  <c r="AH32" s="1"/>
  <c r="AH36" s="1"/>
  <c r="AH28"/>
  <c r="AA42" i="46"/>
  <c r="AA24" s="1"/>
  <c r="AC44" i="48"/>
  <c r="AC24" s="1"/>
  <c r="S36" i="46"/>
  <c r="S34"/>
  <c r="S37" s="1"/>
  <c r="S29" i="45"/>
  <c r="S49"/>
  <c r="T46" s="1"/>
  <c r="Q36" i="47"/>
  <c r="Q39" s="1"/>
  <c r="Q38"/>
  <c r="S25" i="45"/>
  <c r="S28" s="1"/>
  <c r="S30" s="1"/>
  <c r="T47" i="46"/>
  <c r="S31" i="43"/>
  <c r="S51"/>
  <c r="T48" s="1"/>
  <c r="R25" i="47"/>
  <c r="R31"/>
  <c r="R51"/>
  <c r="S48" s="1"/>
  <c r="R31" i="48"/>
  <c r="R51"/>
  <c r="S48" s="1"/>
  <c r="Q36"/>
  <c r="Q39" s="1"/>
  <c r="Q38"/>
  <c r="S25" i="43"/>
  <c r="R25" i="48"/>
  <c r="R38" i="43"/>
  <c r="R36"/>
  <c r="R39" s="1"/>
  <c r="X43" i="45" l="1"/>
  <c r="Y41" s="1"/>
  <c r="Y42" s="1"/>
  <c r="Y24" s="1"/>
  <c r="AA43" i="46"/>
  <c r="AB41" s="1"/>
  <c r="AB42" s="1"/>
  <c r="AB24" s="1"/>
  <c r="AI45" i="47"/>
  <c r="AJ43" s="1"/>
  <c r="AJ44" s="1"/>
  <c r="AJ24" s="1"/>
  <c r="AJ25" s="1"/>
  <c r="AB44" i="43"/>
  <c r="AB24" s="1"/>
  <c r="AI28" i="47"/>
  <c r="AI30"/>
  <c r="AI32" s="1"/>
  <c r="AI36" s="1"/>
  <c r="AC45" i="48"/>
  <c r="AD43" s="1"/>
  <c r="S34" i="45"/>
  <c r="S37" s="1"/>
  <c r="S36"/>
  <c r="S28" i="43"/>
  <c r="S29" s="1"/>
  <c r="R28" i="47"/>
  <c r="R29" s="1"/>
  <c r="S49" i="48"/>
  <c r="T48" i="46"/>
  <c r="T23"/>
  <c r="R28" i="48"/>
  <c r="R29" s="1"/>
  <c r="S49" i="47"/>
  <c r="T49" i="43"/>
  <c r="T47" i="45"/>
  <c r="Y43" l="1"/>
  <c r="Z41" s="1"/>
  <c r="AJ45" i="47"/>
  <c r="AK43" s="1"/>
  <c r="AK44" s="1"/>
  <c r="AK24" s="1"/>
  <c r="AK25" s="1"/>
  <c r="AB43" i="46"/>
  <c r="AC41" s="1"/>
  <c r="AC42" s="1"/>
  <c r="AC24" s="1"/>
  <c r="AC25" s="1"/>
  <c r="AC28" s="1"/>
  <c r="AC30" s="1"/>
  <c r="AC34" s="1"/>
  <c r="AB45" i="43"/>
  <c r="AC43" s="1"/>
  <c r="AJ28" i="47"/>
  <c r="AJ30"/>
  <c r="AJ32" s="1"/>
  <c r="AJ36" s="1"/>
  <c r="AD44" i="48"/>
  <c r="AD24" s="1"/>
  <c r="T23" i="45"/>
  <c r="T48"/>
  <c r="T25" i="46"/>
  <c r="T28" s="1"/>
  <c r="R30" i="47"/>
  <c r="R32" s="1"/>
  <c r="S50"/>
  <c r="S23"/>
  <c r="T29" i="46"/>
  <c r="T49"/>
  <c r="U46" s="1"/>
  <c r="T23" i="43"/>
  <c r="T50"/>
  <c r="S23" i="48"/>
  <c r="S50"/>
  <c r="R30"/>
  <c r="R32" s="1"/>
  <c r="S30" i="43"/>
  <c r="S32" s="1"/>
  <c r="Z42" i="45" l="1"/>
  <c r="Z24" s="1"/>
  <c r="AK45" i="47"/>
  <c r="AL43" s="1"/>
  <c r="AL44" s="1"/>
  <c r="AL24" s="1"/>
  <c r="AL25" s="1"/>
  <c r="AC44" i="43"/>
  <c r="AC24" s="1"/>
  <c r="AC25" s="1"/>
  <c r="AK30" i="47"/>
  <c r="AK32" s="1"/>
  <c r="AK36" s="1"/>
  <c r="AK28"/>
  <c r="AC43" i="46"/>
  <c r="AD41" s="1"/>
  <c r="T30"/>
  <c r="T36" s="1"/>
  <c r="AD45" i="48"/>
  <c r="AE43" s="1"/>
  <c r="T25" i="45"/>
  <c r="T28" s="1"/>
  <c r="S36" i="43"/>
  <c r="S39" s="1"/>
  <c r="S38"/>
  <c r="T31"/>
  <c r="T51"/>
  <c r="U48" s="1"/>
  <c r="S25" i="47"/>
  <c r="R38"/>
  <c r="R36"/>
  <c r="R39" s="1"/>
  <c r="T29" i="45"/>
  <c r="T49"/>
  <c r="U46" s="1"/>
  <c r="R36" i="48"/>
  <c r="R39" s="1"/>
  <c r="R38"/>
  <c r="T25" i="43"/>
  <c r="S25" i="48"/>
  <c r="S31" i="47"/>
  <c r="S51"/>
  <c r="T48" s="1"/>
  <c r="S31" i="48"/>
  <c r="S51"/>
  <c r="T48" s="1"/>
  <c r="U47" i="46"/>
  <c r="Z43" i="45" l="1"/>
  <c r="AA41" s="1"/>
  <c r="AL45" i="47"/>
  <c r="AC30" i="43"/>
  <c r="AC32" s="1"/>
  <c r="AC36" s="1"/>
  <c r="AC28"/>
  <c r="AC45"/>
  <c r="AD43" s="1"/>
  <c r="AL30" i="47"/>
  <c r="AL32" s="1"/>
  <c r="AL36" s="1"/>
  <c r="AL28"/>
  <c r="T30" i="45"/>
  <c r="T34" s="1"/>
  <c r="T37" s="1"/>
  <c r="AD42" i="46"/>
  <c r="AD24" s="1"/>
  <c r="AD25" s="1"/>
  <c r="AD28" s="1"/>
  <c r="AD30" s="1"/>
  <c r="AD34" s="1"/>
  <c r="T34"/>
  <c r="T37" s="1"/>
  <c r="AE44" i="48"/>
  <c r="AE24" s="1"/>
  <c r="T49" i="47"/>
  <c r="U47" i="45"/>
  <c r="S28" i="47"/>
  <c r="S29" s="1"/>
  <c r="S30" s="1"/>
  <c r="S32" s="1"/>
  <c r="U48" i="46"/>
  <c r="U23"/>
  <c r="T28" i="43"/>
  <c r="T29" s="1"/>
  <c r="T49" i="48"/>
  <c r="S28"/>
  <c r="S29" s="1"/>
  <c r="S30" s="1"/>
  <c r="S32" s="1"/>
  <c r="U49" i="43"/>
  <c r="AA42" i="45" l="1"/>
  <c r="AA24" s="1"/>
  <c r="T36"/>
  <c r="AD44" i="43"/>
  <c r="AD24" s="1"/>
  <c r="AD25" s="1"/>
  <c r="AD43" i="46"/>
  <c r="AE41" s="1"/>
  <c r="AE45" i="48"/>
  <c r="AF43" s="1"/>
  <c r="U23" i="43"/>
  <c r="U50"/>
  <c r="T50" i="48"/>
  <c r="T23"/>
  <c r="U29" i="46"/>
  <c r="U49"/>
  <c r="V46" s="1"/>
  <c r="U25"/>
  <c r="U28" s="1"/>
  <c r="U48" i="45"/>
  <c r="U23"/>
  <c r="S38" i="48"/>
  <c r="S36"/>
  <c r="S39" s="1"/>
  <c r="S38" i="47"/>
  <c r="S36"/>
  <c r="S39" s="1"/>
  <c r="T50"/>
  <c r="T23"/>
  <c r="T30" i="43"/>
  <c r="T32" s="1"/>
  <c r="AA43" i="45" l="1"/>
  <c r="AB41" s="1"/>
  <c r="AB42" s="1"/>
  <c r="AB24" s="1"/>
  <c r="AD45" i="43"/>
  <c r="AE43" s="1"/>
  <c r="AE44" s="1"/>
  <c r="AE24" s="1"/>
  <c r="AE25" s="1"/>
  <c r="AD30"/>
  <c r="AD32" s="1"/>
  <c r="AD36" s="1"/>
  <c r="AD28"/>
  <c r="AE42" i="46"/>
  <c r="AE24" s="1"/>
  <c r="AE25" s="1"/>
  <c r="AE28" s="1"/>
  <c r="AE30" s="1"/>
  <c r="AE34" s="1"/>
  <c r="U30"/>
  <c r="U34" s="1"/>
  <c r="U37" s="1"/>
  <c r="AF44" i="48"/>
  <c r="AF24" s="1"/>
  <c r="U29" i="45"/>
  <c r="U49"/>
  <c r="V46" s="1"/>
  <c r="U25" i="43"/>
  <c r="U25" i="45"/>
  <c r="U28" s="1"/>
  <c r="V47" i="46"/>
  <c r="U31" i="43"/>
  <c r="U51"/>
  <c r="V48" s="1"/>
  <c r="T38"/>
  <c r="T36"/>
  <c r="T39" s="1"/>
  <c r="T31" i="47"/>
  <c r="T51"/>
  <c r="U48" s="1"/>
  <c r="T31" i="48"/>
  <c r="T51"/>
  <c r="U48" s="1"/>
  <c r="T25" i="47"/>
  <c r="T25" i="48"/>
  <c r="U30" i="45" l="1"/>
  <c r="U34" s="1"/>
  <c r="U37" s="1"/>
  <c r="U36" i="46"/>
  <c r="AB43" i="45"/>
  <c r="AC41" s="1"/>
  <c r="AE43" i="46"/>
  <c r="AF41" s="1"/>
  <c r="AF42" s="1"/>
  <c r="AF24" s="1"/>
  <c r="AF25" s="1"/>
  <c r="AF28" s="1"/>
  <c r="AF30" s="1"/>
  <c r="AF34" s="1"/>
  <c r="AE28" i="43"/>
  <c r="AE30"/>
  <c r="AE32" s="1"/>
  <c r="AE36" s="1"/>
  <c r="AE45"/>
  <c r="AF43" s="1"/>
  <c r="AF45" i="48"/>
  <c r="AG43" s="1"/>
  <c r="AG44" s="1"/>
  <c r="AG24" s="1"/>
  <c r="U36" i="45"/>
  <c r="T28" i="48"/>
  <c r="T29" s="1"/>
  <c r="T30" s="1"/>
  <c r="T32" s="1"/>
  <c r="U49"/>
  <c r="V48" i="46"/>
  <c r="V23"/>
  <c r="U28" i="43"/>
  <c r="U29" s="1"/>
  <c r="U30" s="1"/>
  <c r="U32" s="1"/>
  <c r="T28" i="47"/>
  <c r="T29" s="1"/>
  <c r="T30" s="1"/>
  <c r="T32" s="1"/>
  <c r="U49"/>
  <c r="V49" i="43"/>
  <c r="V47" i="45"/>
  <c r="AC42" l="1"/>
  <c r="AC24" s="1"/>
  <c r="AC25" s="1"/>
  <c r="AC28" s="1"/>
  <c r="AC30" s="1"/>
  <c r="AC34" s="1"/>
  <c r="AF45" i="43"/>
  <c r="AG43" s="1"/>
  <c r="AF44"/>
  <c r="AF24" s="1"/>
  <c r="AF25" s="1"/>
  <c r="AF43" i="46"/>
  <c r="AG41" s="1"/>
  <c r="AG45" i="48"/>
  <c r="AH43" s="1"/>
  <c r="AH44" s="1"/>
  <c r="AH24" s="1"/>
  <c r="AH25" s="1"/>
  <c r="T36" i="47"/>
  <c r="T39" s="1"/>
  <c r="T38"/>
  <c r="T36" i="48"/>
  <c r="T39" s="1"/>
  <c r="T38"/>
  <c r="U36" i="43"/>
  <c r="U39" s="1"/>
  <c r="U38"/>
  <c r="V48" i="45"/>
  <c r="V23"/>
  <c r="U50" i="47"/>
  <c r="U23"/>
  <c r="U23" i="48"/>
  <c r="U50"/>
  <c r="V29" i="46"/>
  <c r="V49"/>
  <c r="W46" s="1"/>
  <c r="V50" i="43"/>
  <c r="V23"/>
  <c r="V25" i="46"/>
  <c r="V28" s="1"/>
  <c r="V30" s="1"/>
  <c r="AC43" i="45" l="1"/>
  <c r="AD41" s="1"/>
  <c r="AD43" s="1"/>
  <c r="AE41" s="1"/>
  <c r="AD42"/>
  <c r="AD24" s="1"/>
  <c r="AD25" s="1"/>
  <c r="AD28" s="1"/>
  <c r="AD30" s="1"/>
  <c r="AD34" s="1"/>
  <c r="AF30" i="43"/>
  <c r="AF32" s="1"/>
  <c r="AF36" s="1"/>
  <c r="AF28"/>
  <c r="AG44"/>
  <c r="AG24" s="1"/>
  <c r="AG25" s="1"/>
  <c r="AG42" i="46"/>
  <c r="AG24" s="1"/>
  <c r="AG25" s="1"/>
  <c r="AG28" s="1"/>
  <c r="AG30" s="1"/>
  <c r="AG34" s="1"/>
  <c r="AH30" i="48"/>
  <c r="AH32" s="1"/>
  <c r="AH36" s="1"/>
  <c r="AH28"/>
  <c r="AH45"/>
  <c r="AI43" s="1"/>
  <c r="V31" i="43"/>
  <c r="V51"/>
  <c r="W48" s="1"/>
  <c r="U25" i="48"/>
  <c r="V29" i="45"/>
  <c r="V49"/>
  <c r="W46" s="1"/>
  <c r="V25" i="43"/>
  <c r="U31" i="48"/>
  <c r="U51"/>
  <c r="V48" s="1"/>
  <c r="V25" i="45"/>
  <c r="V28" s="1"/>
  <c r="V36" i="46"/>
  <c r="V34"/>
  <c r="V37" s="1"/>
  <c r="U31" i="47"/>
  <c r="U51"/>
  <c r="V48" s="1"/>
  <c r="W47" i="46"/>
  <c r="U25" i="47"/>
  <c r="AE42" i="45" l="1"/>
  <c r="AE24" s="1"/>
  <c r="AE25" s="1"/>
  <c r="AE28" s="1"/>
  <c r="AE30" s="1"/>
  <c r="AE34" s="1"/>
  <c r="AG45" i="43"/>
  <c r="AH43" s="1"/>
  <c r="AH44" s="1"/>
  <c r="AH24" s="1"/>
  <c r="AH25" s="1"/>
  <c r="AG30"/>
  <c r="AG32" s="1"/>
  <c r="AG36" s="1"/>
  <c r="AG28"/>
  <c r="V30" i="45"/>
  <c r="V36" s="1"/>
  <c r="AG43" i="46"/>
  <c r="AH41" s="1"/>
  <c r="AI44" i="48"/>
  <c r="AI24" s="1"/>
  <c r="AI25" s="1"/>
  <c r="V49" i="47"/>
  <c r="V28" i="43"/>
  <c r="V29" s="1"/>
  <c r="V30" s="1"/>
  <c r="V32" s="1"/>
  <c r="W23" i="46"/>
  <c r="W48"/>
  <c r="V49" i="48"/>
  <c r="W47" i="45"/>
  <c r="W49" i="43"/>
  <c r="U28" i="47"/>
  <c r="U29" s="1"/>
  <c r="U28" i="48"/>
  <c r="U29" s="1"/>
  <c r="U30" s="1"/>
  <c r="U32" s="1"/>
  <c r="V34" i="45" l="1"/>
  <c r="V37" s="1"/>
  <c r="AE43"/>
  <c r="AF41" s="1"/>
  <c r="AF42"/>
  <c r="AF24" s="1"/>
  <c r="AF25" s="1"/>
  <c r="AF28" s="1"/>
  <c r="AF30" s="1"/>
  <c r="AF34" s="1"/>
  <c r="AH28" i="43"/>
  <c r="AH30"/>
  <c r="AH32" s="1"/>
  <c r="AH36" s="1"/>
  <c r="AH45"/>
  <c r="AI43" s="1"/>
  <c r="AH42" i="46"/>
  <c r="AH24" s="1"/>
  <c r="AH25" s="1"/>
  <c r="AH28" s="1"/>
  <c r="AH30" s="1"/>
  <c r="AH34" s="1"/>
  <c r="AI45" i="48"/>
  <c r="AJ43" s="1"/>
  <c r="AI30"/>
  <c r="AI32" s="1"/>
  <c r="AI36" s="1"/>
  <c r="AI28"/>
  <c r="V23"/>
  <c r="V50"/>
  <c r="V36" i="43"/>
  <c r="V39" s="1"/>
  <c r="V38"/>
  <c r="W23"/>
  <c r="W50"/>
  <c r="W48" i="45"/>
  <c r="W23"/>
  <c r="W25" i="46"/>
  <c r="W28" s="1"/>
  <c r="W30" s="1"/>
  <c r="V23" i="47"/>
  <c r="V50"/>
  <c r="U36" i="48"/>
  <c r="U39" s="1"/>
  <c r="U38"/>
  <c r="W29" i="46"/>
  <c r="W49"/>
  <c r="X46" s="1"/>
  <c r="U30" i="47"/>
  <c r="U32" s="1"/>
  <c r="AF43" i="45" l="1"/>
  <c r="AG41" s="1"/>
  <c r="AI44" i="43"/>
  <c r="AI24" s="1"/>
  <c r="AI25" s="1"/>
  <c r="AH43" i="46"/>
  <c r="AI41" s="1"/>
  <c r="AJ44" i="48"/>
  <c r="AJ24" s="1"/>
  <c r="AJ25" s="1"/>
  <c r="AJ30" s="1"/>
  <c r="AJ32" s="1"/>
  <c r="AJ36" s="1"/>
  <c r="W36" i="46"/>
  <c r="W34"/>
  <c r="W37" s="1"/>
  <c r="U36" i="47"/>
  <c r="U39" s="1"/>
  <c r="U38"/>
  <c r="V25"/>
  <c r="W29" i="45"/>
  <c r="W49"/>
  <c r="X46" s="1"/>
  <c r="V31" i="47"/>
  <c r="V51"/>
  <c r="W48" s="1"/>
  <c r="W25" i="45"/>
  <c r="W28" s="1"/>
  <c r="W30" s="1"/>
  <c r="V25" i="48"/>
  <c r="X47" i="46"/>
  <c r="W25" i="43"/>
  <c r="V31" i="48"/>
  <c r="V51"/>
  <c r="W48" s="1"/>
  <c r="W31" i="43"/>
  <c r="W51"/>
  <c r="X48" s="1"/>
  <c r="AG42" i="45" l="1"/>
  <c r="AG24" s="1"/>
  <c r="AG25" s="1"/>
  <c r="AG28" s="1"/>
  <c r="AG30" s="1"/>
  <c r="AG34" s="1"/>
  <c r="AJ28" i="48"/>
  <c r="AJ45"/>
  <c r="AK43" s="1"/>
  <c r="AK44" s="1"/>
  <c r="AK24" s="1"/>
  <c r="AK25" s="1"/>
  <c r="AK30" s="1"/>
  <c r="AK32" s="1"/>
  <c r="AK36" s="1"/>
  <c r="AI45" i="43"/>
  <c r="AJ43" s="1"/>
  <c r="AI30"/>
  <c r="AI32" s="1"/>
  <c r="AI36" s="1"/>
  <c r="AI28"/>
  <c r="AJ44"/>
  <c r="AJ24" s="1"/>
  <c r="AJ25" s="1"/>
  <c r="AI42" i="46"/>
  <c r="AI24" s="1"/>
  <c r="AI25" s="1"/>
  <c r="AI28" s="1"/>
  <c r="AI30" s="1"/>
  <c r="AI34" s="1"/>
  <c r="W49" i="48"/>
  <c r="X48" i="46"/>
  <c r="X23"/>
  <c r="W36" i="45"/>
  <c r="W34"/>
  <c r="W37" s="1"/>
  <c r="X47"/>
  <c r="W28" i="43"/>
  <c r="W29" s="1"/>
  <c r="V28" i="48"/>
  <c r="V29" s="1"/>
  <c r="V30" s="1"/>
  <c r="V32" s="1"/>
  <c r="V28" i="47"/>
  <c r="V29" s="1"/>
  <c r="V30" s="1"/>
  <c r="V32" s="1"/>
  <c r="X49" i="43"/>
  <c r="W49" i="47"/>
  <c r="AJ45" i="43" l="1"/>
  <c r="AK43" s="1"/>
  <c r="AK44" s="1"/>
  <c r="AK24" s="1"/>
  <c r="AK25" s="1"/>
  <c r="AG43" i="45"/>
  <c r="AH41" s="1"/>
  <c r="AK45" i="48"/>
  <c r="AL43" s="1"/>
  <c r="AK28"/>
  <c r="AI43" i="46"/>
  <c r="AJ41" s="1"/>
  <c r="AJ28" i="43"/>
  <c r="AJ30"/>
  <c r="AJ32" s="1"/>
  <c r="AJ36" s="1"/>
  <c r="AJ42" i="46"/>
  <c r="AJ24" s="1"/>
  <c r="AJ25" s="1"/>
  <c r="AJ28" s="1"/>
  <c r="AJ30" s="1"/>
  <c r="AJ34" s="1"/>
  <c r="V38" i="47"/>
  <c r="V36"/>
  <c r="V39" s="1"/>
  <c r="V38" i="48"/>
  <c r="V36"/>
  <c r="V39" s="1"/>
  <c r="W30" i="43"/>
  <c r="W32" s="1"/>
  <c r="W50" i="47"/>
  <c r="W23"/>
  <c r="X23" i="43"/>
  <c r="X50"/>
  <c r="X23" i="45"/>
  <c r="X48"/>
  <c r="X29" i="46"/>
  <c r="X49"/>
  <c r="Y46" s="1"/>
  <c r="W50" i="48"/>
  <c r="W23"/>
  <c r="X25" i="46"/>
  <c r="X28" s="1"/>
  <c r="X30" s="1"/>
  <c r="AH42" i="45" l="1"/>
  <c r="AH24" s="1"/>
  <c r="AH25" s="1"/>
  <c r="AH28" s="1"/>
  <c r="AH30" s="1"/>
  <c r="AH34" s="1"/>
  <c r="AL44" i="48"/>
  <c r="AL24" s="1"/>
  <c r="AL25" s="1"/>
  <c r="AK45" i="43"/>
  <c r="AL43" s="1"/>
  <c r="AL44"/>
  <c r="AL24" s="1"/>
  <c r="AL25" s="1"/>
  <c r="AK28"/>
  <c r="AK30"/>
  <c r="AK32" s="1"/>
  <c r="AK36" s="1"/>
  <c r="AJ43" i="46"/>
  <c r="AK41" s="1"/>
  <c r="X36"/>
  <c r="X34"/>
  <c r="X37" s="1"/>
  <c r="X25" i="43"/>
  <c r="Y47" i="46"/>
  <c r="X31" i="43"/>
  <c r="X51"/>
  <c r="Y48" s="1"/>
  <c r="W36"/>
  <c r="W39" s="1"/>
  <c r="W38"/>
  <c r="W31" i="48"/>
  <c r="W51"/>
  <c r="X48" s="1"/>
  <c r="X25" i="45"/>
  <c r="X28" s="1"/>
  <c r="X30" s="1"/>
  <c r="W31" i="47"/>
  <c r="W51"/>
  <c r="X48" s="1"/>
  <c r="W25" i="48"/>
  <c r="X29" i="45"/>
  <c r="X49"/>
  <c r="Y46" s="1"/>
  <c r="W25" i="47"/>
  <c r="AH43" i="45" l="1"/>
  <c r="AI41" s="1"/>
  <c r="AI42" s="1"/>
  <c r="AI24" s="1"/>
  <c r="AI25" s="1"/>
  <c r="AI28" s="1"/>
  <c r="AI30" s="1"/>
  <c r="AI34" s="1"/>
  <c r="AL45" i="48"/>
  <c r="AL30"/>
  <c r="AL32" s="1"/>
  <c r="AL36" s="1"/>
  <c r="AL28"/>
  <c r="AL30" i="43"/>
  <c r="AL32" s="1"/>
  <c r="AL36" s="1"/>
  <c r="AL28"/>
  <c r="AL45"/>
  <c r="AK42" i="46"/>
  <c r="AK24" s="1"/>
  <c r="AK25" s="1"/>
  <c r="AK28" s="1"/>
  <c r="AK30" s="1"/>
  <c r="AK34" s="1"/>
  <c r="X36" i="45"/>
  <c r="X34"/>
  <c r="X37" s="1"/>
  <c r="W28" i="48"/>
  <c r="W29" s="1"/>
  <c r="W30" s="1"/>
  <c r="W32" s="1"/>
  <c r="Y23" i="46"/>
  <c r="Y48"/>
  <c r="W28" i="47"/>
  <c r="W29" s="1"/>
  <c r="Y47" i="45"/>
  <c r="X49" i="47"/>
  <c r="X49" i="48"/>
  <c r="Y49" i="43"/>
  <c r="X28"/>
  <c r="X29" s="1"/>
  <c r="AI43" i="45" l="1"/>
  <c r="AJ41" s="1"/>
  <c r="AJ43" s="1"/>
  <c r="AK41" s="1"/>
  <c r="AJ42"/>
  <c r="AJ24" s="1"/>
  <c r="AJ25" s="1"/>
  <c r="AJ28" s="1"/>
  <c r="AJ30" s="1"/>
  <c r="AJ34" s="1"/>
  <c r="AK43" i="46"/>
  <c r="AL41" s="1"/>
  <c r="AL42" s="1"/>
  <c r="AL24" s="1"/>
  <c r="AL25" s="1"/>
  <c r="AL28" s="1"/>
  <c r="AL30" s="1"/>
  <c r="AL34" s="1"/>
  <c r="W36" i="48"/>
  <c r="W39" s="1"/>
  <c r="W38"/>
  <c r="X50"/>
  <c r="X23"/>
  <c r="Y25" i="46"/>
  <c r="Y28" s="1"/>
  <c r="Y29"/>
  <c r="Y49"/>
  <c r="Z46" s="1"/>
  <c r="Y48" i="45"/>
  <c r="Y23"/>
  <c r="Y50" i="43"/>
  <c r="Y23"/>
  <c r="X50" i="47"/>
  <c r="X23"/>
  <c r="X30" i="43"/>
  <c r="X32" s="1"/>
  <c r="W30" i="47"/>
  <c r="W32" s="1"/>
  <c r="Y30" i="46" l="1"/>
  <c r="Y34" s="1"/>
  <c r="Y37" s="1"/>
  <c r="AK42" i="45"/>
  <c r="AK24" s="1"/>
  <c r="AK25" s="1"/>
  <c r="AK28" s="1"/>
  <c r="AK30" s="1"/>
  <c r="AK34" s="1"/>
  <c r="AK43"/>
  <c r="AL41" s="1"/>
  <c r="AL43" i="46"/>
  <c r="X36" i="43"/>
  <c r="X39" s="1"/>
  <c r="X38"/>
  <c r="W36" i="47"/>
  <c r="W39" s="1"/>
  <c r="W38"/>
  <c r="X31"/>
  <c r="X51"/>
  <c r="Y48" s="1"/>
  <c r="Y29" i="45"/>
  <c r="Y49"/>
  <c r="Z46" s="1"/>
  <c r="X25" i="47"/>
  <c r="Y25" i="45"/>
  <c r="Y28" s="1"/>
  <c r="X31" i="48"/>
  <c r="X51"/>
  <c r="Y48" s="1"/>
  <c r="Y25" i="43"/>
  <c r="Y31"/>
  <c r="Y51"/>
  <c r="Z48" s="1"/>
  <c r="Z47" i="46"/>
  <c r="X25" i="48"/>
  <c r="Y36" i="46" l="1"/>
  <c r="Y30" i="45"/>
  <c r="Y34" s="1"/>
  <c r="Y37" s="1"/>
  <c r="AL42"/>
  <c r="AL24" s="1"/>
  <c r="AL25" s="1"/>
  <c r="AL28" s="1"/>
  <c r="AL30" s="1"/>
  <c r="AL34" s="1"/>
  <c r="Z47"/>
  <c r="Z23" i="46"/>
  <c r="Z48"/>
  <c r="Y28" i="43"/>
  <c r="Y29" s="1"/>
  <c r="X28" i="48"/>
  <c r="X29" s="1"/>
  <c r="X28" i="47"/>
  <c r="X29" s="1"/>
  <c r="X30" s="1"/>
  <c r="X32" s="1"/>
  <c r="Z49" i="43"/>
  <c r="Y49" i="48"/>
  <c r="Y49" i="47"/>
  <c r="Y36" i="45" l="1"/>
  <c r="AL43"/>
  <c r="Z25" i="46"/>
  <c r="Z28" s="1"/>
  <c r="Z29"/>
  <c r="Z49"/>
  <c r="AA46" s="1"/>
  <c r="X30" i="48"/>
  <c r="X32" s="1"/>
  <c r="Y50" i="47"/>
  <c r="Y23"/>
  <c r="X36"/>
  <c r="X39" s="1"/>
  <c r="X38"/>
  <c r="Z50" i="43"/>
  <c r="Z23"/>
  <c r="Y50" i="48"/>
  <c r="Y23"/>
  <c r="Z48" i="45"/>
  <c r="Z23"/>
  <c r="Y30" i="43"/>
  <c r="Y32" s="1"/>
  <c r="Z30" i="46" l="1"/>
  <c r="Z36"/>
  <c r="Z34"/>
  <c r="Z37" s="1"/>
  <c r="Y31" i="48"/>
  <c r="Y51"/>
  <c r="Z48" s="1"/>
  <c r="X38"/>
  <c r="X36"/>
  <c r="X39" s="1"/>
  <c r="Z25" i="45"/>
  <c r="Z28" s="1"/>
  <c r="Z25" i="43"/>
  <c r="Y38"/>
  <c r="Y36"/>
  <c r="Y39" s="1"/>
  <c r="Y25" i="48"/>
  <c r="Y31" i="47"/>
  <c r="Y51"/>
  <c r="Z48" s="1"/>
  <c r="Z29" i="45"/>
  <c r="Z49"/>
  <c r="AA46" s="1"/>
  <c r="Z31" i="43"/>
  <c r="Z51"/>
  <c r="AA48" s="1"/>
  <c r="Y25" i="47"/>
  <c r="AA47" i="46"/>
  <c r="Z30" i="45" l="1"/>
  <c r="Z34" s="1"/>
  <c r="Z37" s="1"/>
  <c r="Y28" i="48"/>
  <c r="Y29" s="1"/>
  <c r="Y28" i="47"/>
  <c r="Y29" s="1"/>
  <c r="Y30" s="1"/>
  <c r="Y32" s="1"/>
  <c r="AA47" i="45"/>
  <c r="Z28" i="43"/>
  <c r="Z29" s="1"/>
  <c r="Z30" s="1"/>
  <c r="Z32" s="1"/>
  <c r="AA48" i="46"/>
  <c r="AA23"/>
  <c r="AA49" i="43"/>
  <c r="Z49" i="47"/>
  <c r="Z49" i="48"/>
  <c r="Z36" i="45" l="1"/>
  <c r="Z23" i="48"/>
  <c r="Z50"/>
  <c r="Y36" i="47"/>
  <c r="Y39" s="1"/>
  <c r="Y38"/>
  <c r="AA23" i="43"/>
  <c r="AA50"/>
  <c r="Z36"/>
  <c r="Z39" s="1"/>
  <c r="Z38"/>
  <c r="Z23" i="47"/>
  <c r="Z50"/>
  <c r="AA29" i="46"/>
  <c r="AA49"/>
  <c r="AB46" s="1"/>
  <c r="AA23" i="45"/>
  <c r="AA48"/>
  <c r="AA25" i="46"/>
  <c r="AA28" s="1"/>
  <c r="AA30" s="1"/>
  <c r="Y30" i="48"/>
  <c r="Y32" s="1"/>
  <c r="AA29" i="45" l="1"/>
  <c r="AA49"/>
  <c r="AB46" s="1"/>
  <c r="AA25" i="43"/>
  <c r="Z25" i="48"/>
  <c r="AA31" i="43"/>
  <c r="AA51"/>
  <c r="AB48" s="1"/>
  <c r="Z31" i="48"/>
  <c r="Z51"/>
  <c r="AA48" s="1"/>
  <c r="AA36" i="46"/>
  <c r="AA34"/>
  <c r="AA37" s="1"/>
  <c r="AB47"/>
  <c r="Z25" i="47"/>
  <c r="Y36" i="48"/>
  <c r="Y39" s="1"/>
  <c r="Y38"/>
  <c r="AA25" i="45"/>
  <c r="AA28" s="1"/>
  <c r="Z31" i="47"/>
  <c r="Z51"/>
  <c r="AA48" s="1"/>
  <c r="AA30" i="45" l="1"/>
  <c r="AA36" s="1"/>
  <c r="AB48" i="46"/>
  <c r="AB23"/>
  <c r="AA49" i="47"/>
  <c r="AA49" i="48"/>
  <c r="Z28"/>
  <c r="Z29" s="1"/>
  <c r="AB47" i="45"/>
  <c r="AA28" i="43"/>
  <c r="AA29" s="1"/>
  <c r="AA30" s="1"/>
  <c r="AA32" s="1"/>
  <c r="Z28" i="47"/>
  <c r="Z29" s="1"/>
  <c r="AB49" i="43"/>
  <c r="AA34" i="45" l="1"/>
  <c r="AA37" s="1"/>
  <c r="AA36" i="43"/>
  <c r="AA39" s="1"/>
  <c r="AA38"/>
  <c r="AA23" i="47"/>
  <c r="AA50"/>
  <c r="Z30" i="48"/>
  <c r="Z32" s="1"/>
  <c r="AB23" i="43"/>
  <c r="AB50"/>
  <c r="AB29" i="46"/>
  <c r="AB49"/>
  <c r="AB23" i="45"/>
  <c r="AB48"/>
  <c r="AA23" i="48"/>
  <c r="AA50"/>
  <c r="AB25" i="46"/>
  <c r="AB28" s="1"/>
  <c r="Z30" i="47"/>
  <c r="Z32" s="1"/>
  <c r="AB30" i="46" l="1"/>
  <c r="AB36" s="1"/>
  <c r="C46" s="1"/>
  <c r="AB29" i="45"/>
  <c r="AB49"/>
  <c r="Z36" i="48"/>
  <c r="Z39" s="1"/>
  <c r="Z38"/>
  <c r="AA31"/>
  <c r="AA51"/>
  <c r="AB48" s="1"/>
  <c r="AB25" i="43"/>
  <c r="AA25" i="47"/>
  <c r="AA25" i="48"/>
  <c r="Z38" i="47"/>
  <c r="Z36"/>
  <c r="Z39" s="1"/>
  <c r="AB25" i="45"/>
  <c r="AB28" s="1"/>
  <c r="AB30" s="1"/>
  <c r="AB31" i="43"/>
  <c r="AB51"/>
  <c r="AA31" i="47"/>
  <c r="AA51"/>
  <c r="AB48" s="1"/>
  <c r="AB34" i="46" l="1"/>
  <c r="AB37" s="1"/>
  <c r="C48" s="1"/>
  <c r="C54" s="1"/>
  <c r="AB34" i="45"/>
  <c r="AB37" s="1"/>
  <c r="C49" s="1"/>
  <c r="C54" s="1"/>
  <c r="AB36"/>
  <c r="C47" s="1"/>
  <c r="AA28" i="48"/>
  <c r="AA29" s="1"/>
  <c r="AA30" s="1"/>
  <c r="AA32" s="1"/>
  <c r="AB28" i="43"/>
  <c r="AB29" s="1"/>
  <c r="AB30" s="1"/>
  <c r="AB32" s="1"/>
  <c r="AB49" i="47"/>
  <c r="AA28"/>
  <c r="AA29" s="1"/>
  <c r="AA30" s="1"/>
  <c r="AA32" s="1"/>
  <c r="AB49" i="48"/>
  <c r="AA38" l="1"/>
  <c r="AA36"/>
  <c r="AA39" s="1"/>
  <c r="AB36" i="43"/>
  <c r="AB39" s="1"/>
  <c r="C50" s="1"/>
  <c r="C56" s="1"/>
  <c r="AB38"/>
  <c r="C48" s="1"/>
  <c r="AA36" i="47"/>
  <c r="AA39" s="1"/>
  <c r="AA38"/>
  <c r="AB50" i="48"/>
  <c r="AB23"/>
  <c r="AB23" i="47"/>
  <c r="AB50"/>
  <c r="AB31" l="1"/>
  <c r="AB51"/>
  <c r="AB25" i="48"/>
  <c r="AB25" i="47"/>
  <c r="AB31" i="48"/>
  <c r="AB51"/>
  <c r="AC48" s="1"/>
  <c r="AC49" l="1"/>
  <c r="AB28" i="47"/>
  <c r="AB29" s="1"/>
  <c r="AB30" s="1"/>
  <c r="AB32" s="1"/>
  <c r="AB28" i="48"/>
  <c r="AB29" s="1"/>
  <c r="AB30" s="1"/>
  <c r="AB32" s="1"/>
  <c r="AB36" i="47" l="1"/>
  <c r="AB39" s="1"/>
  <c r="C49" s="1"/>
  <c r="C56" s="1"/>
  <c r="AB38"/>
  <c r="C47" s="1"/>
  <c r="AB38" i="48"/>
  <c r="AB36"/>
  <c r="AB39" s="1"/>
  <c r="AC50"/>
  <c r="AC23"/>
  <c r="AC31" l="1"/>
  <c r="AC51"/>
  <c r="AD48" s="1"/>
  <c r="AC25"/>
  <c r="AD49" l="1"/>
  <c r="AC28"/>
  <c r="AC30"/>
  <c r="AC32" s="1"/>
  <c r="AD23" l="1"/>
  <c r="AD50"/>
  <c r="AC38"/>
  <c r="AC36"/>
  <c r="AC39" s="1"/>
  <c r="AD25" l="1"/>
  <c r="AD31"/>
  <c r="AD51"/>
  <c r="AE48" s="1"/>
  <c r="AD30" l="1"/>
  <c r="AD32" s="1"/>
  <c r="AD28"/>
  <c r="AE49"/>
  <c r="AD36" l="1"/>
  <c r="AD39" s="1"/>
  <c r="AD38"/>
  <c r="AE23"/>
  <c r="AE50"/>
  <c r="AE25" l="1"/>
  <c r="AE31"/>
  <c r="AE51"/>
  <c r="AF48" s="1"/>
  <c r="AE28" l="1"/>
  <c r="AE30"/>
  <c r="AE32" s="1"/>
  <c r="AF49"/>
  <c r="AE36" l="1"/>
  <c r="AE39" s="1"/>
  <c r="AE38"/>
  <c r="AF23"/>
  <c r="AF50"/>
  <c r="AF25" l="1"/>
  <c r="AF31"/>
  <c r="AF51"/>
  <c r="AG48" s="1"/>
  <c r="AF30" l="1"/>
  <c r="AF32" s="1"/>
  <c r="AF28"/>
  <c r="AG49"/>
  <c r="AF36" l="1"/>
  <c r="AF39" s="1"/>
  <c r="AF38"/>
  <c r="AG23"/>
  <c r="AG50"/>
  <c r="AG25" l="1"/>
  <c r="AG31"/>
  <c r="AG51"/>
  <c r="AG28" l="1"/>
  <c r="AG30"/>
  <c r="AG32" s="1"/>
  <c r="AG38" l="1"/>
  <c r="C48" s="1"/>
  <c r="AG36"/>
  <c r="AG39" s="1"/>
  <c r="C50" s="1"/>
  <c r="C56" s="1"/>
</calcChain>
</file>

<file path=xl/sharedStrings.xml><?xml version="1.0" encoding="utf-8"?>
<sst xmlns="http://schemas.openxmlformats.org/spreadsheetml/2006/main" count="714" uniqueCount="165">
  <si>
    <t>Inputs</t>
  </si>
  <si>
    <t>Annual ICAP Price</t>
  </si>
  <si>
    <t>Net E&amp;AS</t>
  </si>
  <si>
    <t>Revenue</t>
  </si>
  <si>
    <t>Operating Costs</t>
  </si>
  <si>
    <t>Fixed O&amp;M</t>
  </si>
  <si>
    <t>Insurance</t>
  </si>
  <si>
    <t>PILOT</t>
  </si>
  <si>
    <t>Financing Parameters</t>
  </si>
  <si>
    <t>Debt</t>
  </si>
  <si>
    <t>Equity</t>
  </si>
  <si>
    <t>Interest Rate (Nominal)</t>
  </si>
  <si>
    <t>ROE Rate (Nominal)</t>
  </si>
  <si>
    <t>Inflation</t>
  </si>
  <si>
    <t>Composite Tax Rate</t>
  </si>
  <si>
    <t>Tax Depreciation Schedule</t>
  </si>
  <si>
    <t>Period</t>
  </si>
  <si>
    <t>Escalation Factor</t>
  </si>
  <si>
    <t>Cash Flow</t>
  </si>
  <si>
    <t>ICAP</t>
  </si>
  <si>
    <t>Gross Margin</t>
  </si>
  <si>
    <t xml:space="preserve">Total </t>
  </si>
  <si>
    <t>EBITDA</t>
  </si>
  <si>
    <t>Interest</t>
  </si>
  <si>
    <t>Tax Depreciation</t>
  </si>
  <si>
    <t>EBT</t>
  </si>
  <si>
    <t>Taxes</t>
  </si>
  <si>
    <t>Principle Payment</t>
  </si>
  <si>
    <t>LSE Cost Savings</t>
  </si>
  <si>
    <t>Depreciation</t>
  </si>
  <si>
    <t>Beginning Balance</t>
  </si>
  <si>
    <t>Debt Service</t>
  </si>
  <si>
    <t xml:space="preserve">Interest </t>
  </si>
  <si>
    <t xml:space="preserve">Principle </t>
  </si>
  <si>
    <t>Ending Balance</t>
  </si>
  <si>
    <t>Calculated Values</t>
  </si>
  <si>
    <t>Annual Debt Service Payment</t>
  </si>
  <si>
    <t>Net Present Value</t>
  </si>
  <si>
    <t>NPV Base Case</t>
  </si>
  <si>
    <t>NPV w/ LSE Cost Savings</t>
  </si>
  <si>
    <t>After Tax Cash Flow - Base Case</t>
  </si>
  <si>
    <t>After Tax Cash Flow - LSE Cost Savings</t>
  </si>
  <si>
    <t>NPV of Plant Cash Flow</t>
  </si>
  <si>
    <t>Depreciation Schedule</t>
  </si>
  <si>
    <t>Depreciation Type</t>
  </si>
  <si>
    <t>MACRS</t>
  </si>
  <si>
    <t>StraightLine</t>
  </si>
  <si>
    <t xml:space="preserve">Annual ICAP Price </t>
  </si>
  <si>
    <t>Net E&amp;AS Escalation Factor</t>
  </si>
  <si>
    <t>ROS UCAP</t>
  </si>
  <si>
    <t>Average MCP</t>
  </si>
  <si>
    <t>Cost of ROS Capacity</t>
  </si>
  <si>
    <t>Summer</t>
  </si>
  <si>
    <t>Winter</t>
  </si>
  <si>
    <t>Addition</t>
  </si>
  <si>
    <t>MW</t>
  </si>
  <si>
    <t>Slope</t>
  </si>
  <si>
    <t>$/kW-month/MW</t>
  </si>
  <si>
    <t>Average</t>
  </si>
  <si>
    <t>Annual Difference</t>
  </si>
  <si>
    <t>Implied MW*</t>
  </si>
  <si>
    <t>N/A</t>
  </si>
  <si>
    <t>*Note: At the time of this analysis, the Winter 2015-2016 Capability Period had not ended. Therefore, Monthly ICAP Auction prices were used to augment the data available and estimate the average ROS UCAP and MCP.</t>
  </si>
  <si>
    <t>Plant Installed Capacity</t>
  </si>
  <si>
    <t>Calendar Year</t>
  </si>
  <si>
    <t>%</t>
  </si>
  <si>
    <t>Capacity Market Factor</t>
  </si>
  <si>
    <t>Energy Market Factor</t>
  </si>
  <si>
    <t>MW ICAP</t>
  </si>
  <si>
    <t xml:space="preserve">Average LBMP </t>
  </si>
  <si>
    <t xml:space="preserve">Net E&amp;AS </t>
  </si>
  <si>
    <t>Installed Project Capital Costs</t>
  </si>
  <si>
    <t>GHI UCAP</t>
  </si>
  <si>
    <t>NYC UCAP</t>
  </si>
  <si>
    <t>$ ICAP</t>
  </si>
  <si>
    <t>Investment Horizon</t>
  </si>
  <si>
    <t>Capacity Price Effect Longivity</t>
  </si>
  <si>
    <t/>
  </si>
  <si>
    <t>Impact/100 UCAP MW</t>
  </si>
  <si>
    <t>MACRS + 50% bonus depreciation</t>
  </si>
  <si>
    <t>$/MWh</t>
  </si>
  <si>
    <t>NYCA Spot MCP</t>
  </si>
  <si>
    <t>G-J Spot MCP</t>
  </si>
  <si>
    <t>NYC Spot MCP</t>
  </si>
  <si>
    <t>NYCA Monthly Price **</t>
  </si>
  <si>
    <t>G-J Monthly Price</t>
  </si>
  <si>
    <t>NYC Monthly Price</t>
  </si>
  <si>
    <t>$/kW-yr</t>
  </si>
  <si>
    <t>yr</t>
  </si>
  <si>
    <t>$-yr</t>
  </si>
  <si>
    <t>Interest Rate (Real)</t>
  </si>
  <si>
    <t>ROE Rate (Real)</t>
  </si>
  <si>
    <t>WACC (Pre-tax)</t>
  </si>
  <si>
    <t>The 50% bonus depreciation described below generally applies to assets placed in service after December 31, 2007 and before January 1, 2015. (100% bonus depreciation described below generally applies to assets acquired after September 8, 2010 and placed in service before January 1, 2012. 30%/50% bonus depreciation under an earlier law generally expired January 1, 2005.)</t>
  </si>
  <si>
    <t>MACRSw50BonusDepreciation</t>
  </si>
  <si>
    <t xml:space="preserve"> Numbers and Analysis (As of January 2016)</t>
  </si>
  <si>
    <t>*Note: At the time of this analysis, the Winter 2015-2016 Capability Period had not ended. Therefore, Monthly ICAP Auction prices were used to augment the data available and estimate the average G-J UCAP and MCP.</t>
  </si>
  <si>
    <t>*Note: At the time of this analysis, the Winter 2015-2016 Capability Period had not ended. Therefore, Monthly ICAP Auction prices were used to augment the data available and estimate the average NYC UCAP and MCP.</t>
  </si>
  <si>
    <t>PTC Horizon</t>
  </si>
  <si>
    <t>NYC slope</t>
  </si>
  <si>
    <t>Federal Incentive, PTC</t>
  </si>
  <si>
    <t>Market Share NYC</t>
  </si>
  <si>
    <t>Market Share GHI</t>
  </si>
  <si>
    <t>Market Share ROS</t>
  </si>
  <si>
    <t>Net Present Value of Savings</t>
  </si>
  <si>
    <t>Plant Construction by LSE</t>
  </si>
  <si>
    <t>PTC</t>
  </si>
  <si>
    <t>http://www.irs.gov/pub/irs-pdf/f8835.pdf</t>
  </si>
  <si>
    <t xml:space="preserve">NYISO ICAP Manual </t>
  </si>
  <si>
    <t>&lt;http://energy.gov/sites/prod/files/2014/09/f18/2014%20Navigant%20Offshore%20Wind%20Market%20%26%20Economic%20Analysis.pdf&gt;</t>
  </si>
  <si>
    <t xml:space="preserve">Navigant’s Offshore Wind Market and Economic Analysis </t>
  </si>
  <si>
    <t>http://www.windmeasurementinternational.com/wind-turbines/om-turbines.php</t>
  </si>
  <si>
    <t>https://emp.lbl.gov/sites/all/files/lbnl-188167.pdf</t>
  </si>
  <si>
    <t>http://dwwind.com/press/block-island-wind-farm-now-fully-financed/</t>
  </si>
  <si>
    <t xml:space="preserve">Deepwater Wind Press release </t>
  </si>
  <si>
    <t xml:space="preserve">Utility Scale Solar 2014 LBNL Sep 2015 report </t>
  </si>
  <si>
    <t>https://emp.lbl.gov/sites/all/files/lbnl-1000917.pdf</t>
  </si>
  <si>
    <t>DOE "Revolution… Now" report</t>
  </si>
  <si>
    <t>http://energy.gov/sites/prod/files/2015/11/f27/Revolution-Now-11132015.pdf</t>
  </si>
  <si>
    <t>2014 Wind Technologies Market Report</t>
  </si>
  <si>
    <t xml:space="preserve">IRS </t>
  </si>
  <si>
    <t>https://www.irs.gov/publications/p946/ch04.html</t>
  </si>
  <si>
    <t>Hypothetical Offshore Wind Built in NYC</t>
  </si>
  <si>
    <t>Installed costs are not fully inclusive especially with regard to interconnection</t>
  </si>
  <si>
    <t>http://www.nyserda.ny.gov/-/media/Files/Publications/Research/Biomass-Solar-Wind/offshore-wind-energy-development.pdf</t>
  </si>
  <si>
    <t>New York's Offshore Wind Energy Development Potential in the Great Lakes: Feasibility Study</t>
  </si>
  <si>
    <t>** Monthly February 2016 Auction Results</t>
  </si>
  <si>
    <t>Cost of NYC Capacity</t>
  </si>
  <si>
    <t>Cost of GHI Capacity</t>
  </si>
  <si>
    <t xml:space="preserve">Taxes on LSE Cost Savings </t>
  </si>
  <si>
    <t>YES</t>
  </si>
  <si>
    <t>Tax Credit</t>
  </si>
  <si>
    <t>REC revenue</t>
  </si>
  <si>
    <t>Production Tax Credit, Federal</t>
  </si>
  <si>
    <t>Renewable Energy Credit, REC</t>
  </si>
  <si>
    <t>http://www.eia.gov/forecasts/aeo/assumptions/pdf/table_8.2.pdf</t>
  </si>
  <si>
    <t>EIA report</t>
  </si>
  <si>
    <t>Investment Tax Credit, Federal</t>
  </si>
  <si>
    <t>http://www.eia.gov/forecasts/aeo/assumptions/pdf/electricity.pdf</t>
  </si>
  <si>
    <t>Site development (i.e. land lease)</t>
  </si>
  <si>
    <t>Losses were ignored, losses for a freshwater offshore project are dependent on a variety of factors, but can be in the range of 20% to 25%</t>
  </si>
  <si>
    <t>Remaining Tax Credit</t>
  </si>
  <si>
    <t>Cash Taxes</t>
  </si>
  <si>
    <t>http://apps3.eere.energy.gov/greenpower/markets/certificates.shtml?page=5</t>
  </si>
  <si>
    <t>REC</t>
  </si>
  <si>
    <t>http://apps3.eere.energy.gov/greenpower/markets/certificates.shtml?page=1</t>
  </si>
  <si>
    <t>http://apps2.eere.energy.gov/wind/windexchange/wind_resource_maps.asp?stateab=ny</t>
  </si>
  <si>
    <t>https://www.gpo.gov/fdsys/pkg/BILLS-114hr2029enr/pdf/BILLS-114hr2029enr.pdf</t>
  </si>
  <si>
    <t>http://programs.dsireusa.org/system/program/detail/734</t>
  </si>
  <si>
    <t>Site development</t>
  </si>
  <si>
    <t>Federal Tax Rate</t>
  </si>
  <si>
    <t>State Tax Rate (Combined State/City)</t>
  </si>
  <si>
    <t>City Tax Rate</t>
  </si>
  <si>
    <t>NPV-kW</t>
  </si>
  <si>
    <t>Hypothetical Wind Built in NYC</t>
  </si>
  <si>
    <t>Hypothetical Wind Built in GHI</t>
  </si>
  <si>
    <t>Hypothetical Solar Built in NYC</t>
  </si>
  <si>
    <t>Hypothetical Solar Built in GHI</t>
  </si>
  <si>
    <t>ITC</t>
  </si>
  <si>
    <t>http://www.seia.org/policy/finance-tax/solar-investment-tax-credit</t>
  </si>
  <si>
    <t>http://docs.house.gov/billsthisweek/20151214/CPRT-114-HPRT-RU00-SAHR2029-AMNT1final.pdf</t>
  </si>
  <si>
    <t xml:space="preserve">http://www.wspp.org/filestorage/rec_markets_trading_wspp_oc_mtg_032211.pdf </t>
  </si>
  <si>
    <t>Wind</t>
  </si>
  <si>
    <t>http://www.nyserda.ny.gov/All-Programs/Programs/Main-Tier/Documents , PRS Annual Reports</t>
  </si>
  <si>
    <t>Attachment IV: Wind and Solar Analysis</t>
  </si>
</sst>
</file>

<file path=xl/styles.xml><?xml version="1.0" encoding="utf-8"?>
<styleSheet xmlns="http://schemas.openxmlformats.org/spreadsheetml/2006/main">
  <numFmts count="103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"/>
    <numFmt numFmtId="169" formatCode="&quot;$&quot;#,##0.00"/>
    <numFmt numFmtId="170" formatCode="0.0%"/>
    <numFmt numFmtId="171" formatCode="0.000000"/>
    <numFmt numFmtId="172" formatCode="&quot;$&quot;#,##0.0_);[Red]\(&quot;$&quot;#,##0.0\)"/>
    <numFmt numFmtId="173" formatCode="&quot;$&quot;\ \ #,##0_);[Red]\(&quot;$&quot;\ \ #,##0\)"/>
    <numFmt numFmtId="174" formatCode="#,##0_);[Red]\(#,##0\);\-"/>
    <numFmt numFmtId="175" formatCode="#,##0.00000___;"/>
    <numFmt numFmtId="176" formatCode="&quot;$&quot;#,##0.00;\-&quot;$&quot;#,##0.00"/>
    <numFmt numFmtId="177" formatCode="0.0_%;\(0.0\)%;\ \-\ \ \ "/>
    <numFmt numFmtId="178" formatCode="#,###.000000_);\(#,##0.000000\);\ \-\ _ "/>
    <numFmt numFmtId="179" formatCode="&quot;$&quot;\ \ #,##0.0_);[Red]\(&quot;$&quot;\ \ #,##0.0\)"/>
    <numFmt numFmtId="180" formatCode="&quot;$&quot;\ \ #,##0.00_);[Red]\(&quot;$&quot;\ \ #,##0.00\)"/>
    <numFmt numFmtId="181" formatCode="#,##0_);\(#,##0\);_ \-\ \ "/>
    <numFmt numFmtId="182" formatCode="&quot;$&quot;#,##0;[Red]\-&quot;$&quot;#,##0"/>
    <numFmt numFmtId="183" formatCode="&quot;$&quot;#,##0.00;[Red]\-&quot;$&quot;#,##0.00"/>
    <numFmt numFmtId="184" formatCode="#,##0___);\(#,##0\);___-\ \ "/>
    <numFmt numFmtId="185" formatCode="&quot;£&quot;\ #,##0_);[Red]\(&quot;£&quot;\ #,##0\)"/>
    <numFmt numFmtId="186" formatCode="&quot;\&quot;\ #,##0_);[Red]\(&quot;\&quot;\ #,##0\)"/>
    <numFmt numFmtId="187" formatCode="0.0000000000000000%"/>
    <numFmt numFmtId="188" formatCode="0.0000000"/>
    <numFmt numFmtId="189" formatCode="#,##0;\(#,##0\)"/>
    <numFmt numFmtId="190" formatCode="_(* #,##0.0_);[Red]_(* \(#,##0.0\);_(* &quot;-&quot;??_);_(@_)"/>
    <numFmt numFmtId="191" formatCode="_(* #,##0_);_(* \(#,##0\);_(* &quot;0&quot;_);_(@_)"/>
    <numFmt numFmtId="192" formatCode="_-&quot;$&quot;* #,##0.00_-;\-&quot;$&quot;* #,##0.00_-;_-&quot;$&quot;* &quot;-&quot;??_-;_-@_-"/>
    <numFmt numFmtId="193" formatCode="#,##0_);\(#,##0\);&quot;- &quot;"/>
    <numFmt numFmtId="194" formatCode="_-* #,##0_-;\-* #,##0_-;_-* &quot;-&quot;_-;_-@_-"/>
    <numFmt numFmtId="195" formatCode="&quot;•&quot;\ \ @"/>
    <numFmt numFmtId="196" formatCode="#,##0;&quot;\&quot;\!\-#,##0;&quot;-&quot;"/>
    <numFmt numFmtId="197" formatCode="_-&quot;AUD&quot;* #,##0_-;\-&quot;AUD&quot;* #,##0_-;_-&quot;AUD&quot;* &quot;-&quot;_-;_-@_-"/>
    <numFmt numFmtId="198" formatCode="#,##0.0_);\(#,##0.0\)"/>
    <numFmt numFmtId="199" formatCode="#,##0.00_);[Red]\(#,##0.00\);\ \-_)"/>
    <numFmt numFmtId="200" formatCode="\(@\)"/>
    <numFmt numFmtId="201" formatCode=";;;\(@\)"/>
    <numFmt numFmtId="202" formatCode="_-* #,##0.00_-;\(#,##0.00\);_-* &quot;-&quot;_-"/>
    <numFmt numFmtId="203" formatCode="#,##0,_);\(#,##0,\)"/>
    <numFmt numFmtId="204" formatCode="&quot;$&quot;#,##0,_);[Red]\(&quot;$&quot;#,##0,\)"/>
    <numFmt numFmtId="205" formatCode="&quot;$&quot;\ #,##0.00;\-&quot;$&quot;\ #,##0.00;&quot;$&quot;\ 0.00;@"/>
    <numFmt numFmtId="206" formatCode="&quot;$&quot;#,##0.00;\(&quot;$&quot;#,##0.00\)"/>
    <numFmt numFmtId="207" formatCode="&quot;$&quot;#,##0\ ;\(&quot;$&quot;#,##0\)"/>
    <numFmt numFmtId="208" formatCode="[&gt;=500]#,##0,_);[Red][&lt;=-500]\(#,##0,\);\-_)"/>
    <numFmt numFmtId="209" formatCode=";;;&quot;Units: $'000&quot;"/>
    <numFmt numFmtId="210" formatCode="\ \ _•&quot;–&quot;\ \ \ \ @"/>
    <numFmt numFmtId="211" formatCode="d\ mmm\ yy"/>
    <numFmt numFmtId="212" formatCode="dd\ mmm\ yyyy"/>
    <numFmt numFmtId="213" formatCode="mmm\ yy"/>
    <numFmt numFmtId="214" formatCode="dd\-mmm\-yy_);&quot;Error &lt;0  &quot;;dd\-mmm\-yy_);&quot;  &quot;@"/>
    <numFmt numFmtId="215" formatCode="mmm\ yyyy_);&quot;Error &lt;0  &quot;;dd\ mmm\ yyyy_);&quot;  &quot;@"/>
    <numFmt numFmtId="216" formatCode="m/d/yy\ h:mm"/>
    <numFmt numFmtId="217" formatCode="#,##0;\-#,##0;0"/>
    <numFmt numFmtId="218" formatCode="#,##0.00;\-#,##0.00;0.00"/>
    <numFmt numFmtId="219" formatCode="#,##0.0000;\-#,##0.0000;0.0000"/>
    <numFmt numFmtId="220" formatCode="0.0000"/>
    <numFmt numFmtId="221" formatCode="#,##0,_);[Red]\(#,##0,\)"/>
    <numFmt numFmtId="222" formatCode="_([$€-2]* #,##0.00_);_([$€-2]* \(#,##0.00\);_([$€-2]* &quot;-&quot;??_)"/>
    <numFmt numFmtId="223" formatCode="_-* #,##0_-;\(#,##0\);_-* &quot;-&quot;_-"/>
    <numFmt numFmtId="224" formatCode="#,##0_);\(#,##0\);&quot;-  &quot;;&quot;  &quot;@"/>
    <numFmt numFmtId="225" formatCode="_-* #,##0.0_-;\-* #,##0.0_-;_-* &quot;-&quot;??_-;_-@_-"/>
    <numFmt numFmtId="226" formatCode="0."/>
    <numFmt numFmtId="227" formatCode="#,##0.00&quot; $&quot;;\-#,##0.00&quot; $&quot;"/>
    <numFmt numFmtId="228" formatCode=";;;"/>
    <numFmt numFmtId="229" formatCode="#,##0.00_ ;[Red]\ \(#,##0.00\);\ \-_)"/>
    <numFmt numFmtId="230" formatCode="#,##0_ ;[Red]\ \(#,##0\);\ \-_)"/>
    <numFmt numFmtId="231" formatCode="0.00%;\(0.00%\)"/>
    <numFmt numFmtId="232" formatCode="_-* #,##0.00_-;\(#,##0.00\);_-* &quot;-&quot;??_-;_-@_-"/>
    <numFmt numFmtId="233" formatCode="_(* #,##0.0,_);_(* \(#,##0.0,\);_(* &quot;-   &quot;_);_(@_)"/>
    <numFmt numFmtId="234" formatCode="_-* #,##0.00_-;\-* #,##0.00_-;_-* &quot;-&quot;??_-;_-@_-"/>
    <numFmt numFmtId="235" formatCode="&quot;Tariff&quot;\ 0"/>
    <numFmt numFmtId="236" formatCode="0\ &quot;Years Gredit Foncier&quot;"/>
    <numFmt numFmtId="237" formatCode="#,##0.00;[Red]\(#,##0.00\)"/>
    <numFmt numFmtId="238" formatCode="[&gt;=0.005]##,##0.00_);[Red][&lt;=-0.005]\(##,##0.00\);\0\.\0\0_)"/>
    <numFmt numFmtId="239" formatCode="#,##0\ &quot;Pts&quot;;\-#,##0\ &quot;Pts&quot;"/>
    <numFmt numFmtId="240" formatCode="[$-409]mmm\-yy;@"/>
    <numFmt numFmtId="241" formatCode="#,##0.000;[Red]\-#,##0.000"/>
    <numFmt numFmtId="242" formatCode="0.000E+00"/>
    <numFmt numFmtId="243" formatCode=";;;&quot;Units: $&quot;"/>
    <numFmt numFmtId="244" formatCode="_-* #,##0_-;[Red]\(\ #,##0\);_-* &quot;-&quot;??_-;_-@_-"/>
    <numFmt numFmtId="245" formatCode="_(* #,##0,_);_(* \(#,##0,\);_(* &quot;-&quot;??_);_(@_)"/>
    <numFmt numFmtId="246" formatCode="_(&quot;$&quot;* #,##0_);_(&quot;$&quot;* \(#,##0\);_(&quot;$&quot;* &quot;0&quot;_);_(@_)"/>
    <numFmt numFmtId="247" formatCode="#,##0.00;[Blue]\(#,##0.00\);&quot;-&quot;"/>
    <numFmt numFmtId="248" formatCode="_-&quot;$&quot;* #,##0_-;\-&quot;$&quot;* #,##0_-;_-&quot;$&quot;* &quot;-&quot;_-;_-@_-"/>
    <numFmt numFmtId="249" formatCode="0000"/>
    <numFmt numFmtId="250" formatCode="&quot;Yes&quot;;[Red]&quot;Error&quot;;&quot;No&quot;;[Red]&quot;Error&quot;"/>
    <numFmt numFmtId="251" formatCode="#,##0;[Red]\(#,##0\);\ &quot;-&quot;"/>
    <numFmt numFmtId="252" formatCode="&quot;\&quot;#,##0;[Red]&quot;\&quot;\-#,##0"/>
    <numFmt numFmtId="253" formatCode="#,##0.00%_);&quot;(&quot;#,##0.00%&quot;)&quot;;&quot;–&quot;_)"/>
    <numFmt numFmtId="254" formatCode="_(&quot;$&quot;* #,##0_);_(&quot;$&quot;* \(#,##0\);_(&quot;$&quot;* &quot;-&quot;?_);_(@_)"/>
    <numFmt numFmtId="255" formatCode="_(&quot;$&quot;* #,##0_);_(&quot;$&quot;* \(#,##0\);_(&quot;$&quot;* &quot;-&quot;???_);_(@_)"/>
    <numFmt numFmtId="256" formatCode="0.000000_);\(0.000000\)"/>
    <numFmt numFmtId="257" formatCode="&quot;$&quot;#,##0.000000_);\(&quot;$&quot;#,##0.000000\)"/>
    <numFmt numFmtId="258" formatCode="yyyy"/>
    <numFmt numFmtId="259" formatCode="_(&quot;$&quot;* #,##0.00_);_(&quot;$&quot;* \(#,##0.00\);_(&quot;$&quot;* &quot;-&quot;?_);_(@_)"/>
    <numFmt numFmtId="260" formatCode="_(&quot;$&quot;* #,##0.000000_);_(&quot;$&quot;* \(#,##0.000000\);_(&quot;$&quot;* &quot;-&quot;?_);_(@_)"/>
    <numFmt numFmtId="261" formatCode="_(&quot;$&quot;* #,##0.000000_);_(&quot;$&quot;* \(#,##0.000000\);_(&quot;$&quot;* &quot;-&quot;??_);_(@_)"/>
  </numFmts>
  <fonts count="20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23"/>
      <name val="Lucida Console"/>
      <family val="3"/>
    </font>
    <font>
      <sz val="10"/>
      <color indexed="9"/>
      <name val="Arial"/>
      <family val="2"/>
    </font>
    <font>
      <b/>
      <i/>
      <sz val="10"/>
      <color indexed="10"/>
      <name val="Arial"/>
      <family val="2"/>
    </font>
    <font>
      <b/>
      <i/>
      <sz val="10"/>
      <color indexed="63"/>
      <name val="Arial"/>
      <family val="2"/>
    </font>
    <font>
      <b/>
      <sz val="10"/>
      <color indexed="9"/>
      <name val="Arial"/>
      <family val="2"/>
    </font>
    <font>
      <sz val="10"/>
      <color indexed="11"/>
      <name val="Arial"/>
      <family val="2"/>
    </font>
    <font>
      <i/>
      <sz val="10"/>
      <color indexed="12"/>
      <name val="Arial"/>
      <family val="2"/>
    </font>
    <font>
      <i/>
      <sz val="10"/>
      <color indexed="10"/>
      <name val="Arial"/>
      <family val="2"/>
    </font>
    <font>
      <b/>
      <i/>
      <sz val="9"/>
      <color indexed="33"/>
      <name val="Arial"/>
      <family val="2"/>
    </font>
    <font>
      <sz val="10"/>
      <name val="Helv"/>
      <family val="2"/>
    </font>
    <font>
      <sz val="12"/>
      <name val="___"/>
      <family val="1"/>
      <charset val="129"/>
    </font>
    <font>
      <sz val="12"/>
      <name val="___"/>
      <family val="1"/>
    </font>
    <font>
      <sz val="12"/>
      <name val="___"/>
      <family val="3"/>
      <charset val="129"/>
    </font>
    <font>
      <sz val="11"/>
      <name val="__"/>
      <family val="3"/>
      <charset val="129"/>
    </font>
    <font>
      <sz val="10"/>
      <name val="___"/>
      <family val="3"/>
      <charset val="129"/>
    </font>
    <font>
      <sz val="10"/>
      <name val="___"/>
      <family val="3"/>
    </font>
    <font>
      <sz val="11"/>
      <name val="__"/>
      <family val="3"/>
    </font>
    <font>
      <sz val="10"/>
      <name val="MS Sans Serif"/>
      <family val="2"/>
    </font>
    <font>
      <sz val="11"/>
      <name val="___"/>
      <family val="1"/>
      <charset val="129"/>
    </font>
    <font>
      <sz val="11"/>
      <name val="___"/>
      <family val="1"/>
    </font>
    <font>
      <sz val="11"/>
      <name val="___"/>
      <family val="3"/>
      <charset val="129"/>
    </font>
    <font>
      <sz val="8"/>
      <name val="Times"/>
      <family val="1"/>
    </font>
    <font>
      <sz val="12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11"/>
      <color indexed="9"/>
      <name val="Calibri"/>
      <family val="2"/>
    </font>
    <font>
      <sz val="10"/>
      <name val="Helv"/>
    </font>
    <font>
      <b/>
      <sz val="14"/>
      <name val="Times New Roman"/>
      <family val="1"/>
    </font>
    <font>
      <sz val="10"/>
      <color indexed="12"/>
      <name val="Times New Roman"/>
      <family val="1"/>
    </font>
    <font>
      <sz val="10"/>
      <color indexed="12"/>
      <name val="Arial"/>
      <family val="2"/>
    </font>
    <font>
      <sz val="11"/>
      <color indexed="20"/>
      <name val="Calibri"/>
      <family val="2"/>
    </font>
    <font>
      <u/>
      <sz val="10"/>
      <color indexed="36"/>
      <name val="Arial"/>
      <family val="2"/>
    </font>
    <font>
      <b/>
      <sz val="12"/>
      <name val="Times New Roman"/>
      <family val="1"/>
    </font>
    <font>
      <b/>
      <sz val="12"/>
      <color indexed="9"/>
      <name val="Arial"/>
      <family val="2"/>
    </font>
    <font>
      <u/>
      <sz val="10"/>
      <name val="Helv"/>
    </font>
    <font>
      <u val="singleAccounting"/>
      <sz val="12"/>
      <name val="Times New Roman"/>
      <family val="1"/>
    </font>
    <font>
      <b/>
      <sz val="6"/>
      <name val="CG Times (E1)"/>
    </font>
    <font>
      <b/>
      <i/>
      <sz val="14"/>
      <name val="Arial"/>
      <family val="2"/>
    </font>
    <font>
      <b/>
      <sz val="12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10"/>
      <name val="Times"/>
      <family val="1"/>
    </font>
    <font>
      <b/>
      <sz val="11"/>
      <color indexed="52"/>
      <name val="Calibri"/>
      <family val="2"/>
    </font>
    <font>
      <sz val="10"/>
      <name val="Courier New"/>
      <family val="3"/>
    </font>
    <font>
      <b/>
      <sz val="11"/>
      <color indexed="9"/>
      <name val="Calibri"/>
      <family val="2"/>
    </font>
    <font>
      <b/>
      <i/>
      <sz val="10"/>
      <color indexed="10"/>
      <name val="Geneva"/>
      <family val="2"/>
    </font>
    <font>
      <b/>
      <sz val="10"/>
      <name val="Times New Roman"/>
      <family val="1"/>
    </font>
    <font>
      <i/>
      <sz val="10"/>
      <name val="Times New Roman"/>
      <family val="1"/>
    </font>
    <font>
      <u val="singleAccounting"/>
      <sz val="10"/>
      <name val="Times"/>
      <family val="1"/>
    </font>
    <font>
      <b/>
      <sz val="8"/>
      <name val="Gill Sans"/>
      <family val="2"/>
    </font>
    <font>
      <u val="doubleAccounting"/>
      <sz val="10"/>
      <name val="Arial"/>
      <family val="2"/>
    </font>
    <font>
      <u val="singleAccounting"/>
      <sz val="10"/>
      <name val="Arial"/>
      <family val="2"/>
    </font>
    <font>
      <sz val="10"/>
      <color indexed="10"/>
      <name val="Gill Sans"/>
      <family val="2"/>
    </font>
    <font>
      <sz val="11"/>
      <name val="??"/>
      <family val="3"/>
      <charset val="129"/>
    </font>
    <font>
      <sz val="10"/>
      <name val="Helvetica"/>
      <family val="2"/>
    </font>
    <font>
      <sz val="10"/>
      <name val="Palatino"/>
      <family val="1"/>
    </font>
    <font>
      <sz val="10"/>
      <name val="Gill Sans"/>
      <family val="2"/>
    </font>
    <font>
      <sz val="10"/>
      <color indexed="10"/>
      <name val="Arial"/>
      <family val="2"/>
    </font>
    <font>
      <b/>
      <sz val="11"/>
      <name val="Optimum"/>
    </font>
    <font>
      <b/>
      <sz val="12"/>
      <name val="MS Sans Serif"/>
      <family val="2"/>
    </font>
    <font>
      <sz val="9"/>
      <name val="Times New Roman"/>
      <family val="1"/>
    </font>
    <font>
      <u val="double"/>
      <sz val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u/>
      <sz val="11"/>
      <color indexed="37"/>
      <name val="Arial"/>
      <family val="2"/>
    </font>
    <font>
      <b/>
      <sz val="15"/>
      <color indexed="62"/>
      <name val="Calibri"/>
      <family val="2"/>
    </font>
    <font>
      <b/>
      <sz val="11"/>
      <color indexed="9"/>
      <name val="Arial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color indexed="56"/>
      <name val="Times New Roman"/>
      <family val="1"/>
    </font>
    <font>
      <b/>
      <sz val="14"/>
      <name val="Arial MT"/>
    </font>
    <font>
      <b/>
      <u/>
      <sz val="8"/>
      <color indexed="56"/>
      <name val="Arial"/>
      <family val="2"/>
    </font>
    <font>
      <b/>
      <i/>
      <sz val="10"/>
      <color indexed="62"/>
      <name val="Arial"/>
      <family val="2"/>
    </font>
    <font>
      <sz val="10"/>
      <color indexed="12"/>
      <name val="Gill Sans"/>
      <family val="2"/>
    </font>
    <font>
      <sz val="11"/>
      <color indexed="62"/>
      <name val="Calibri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sz val="11"/>
      <color indexed="52"/>
      <name val="Calibri"/>
      <family val="2"/>
    </font>
    <font>
      <sz val="10"/>
      <color indexed="18"/>
      <name val="Arial Narrow"/>
      <family val="2"/>
    </font>
    <font>
      <b/>
      <sz val="9"/>
      <color indexed="18"/>
      <name val="Arial"/>
      <family val="2"/>
    </font>
    <font>
      <sz val="8"/>
      <color indexed="55"/>
      <name val="Arial"/>
      <family val="2"/>
    </font>
    <font>
      <b/>
      <i/>
      <sz val="10"/>
      <color indexed="10"/>
      <name val="Helv"/>
    </font>
    <font>
      <sz val="11"/>
      <color indexed="60"/>
      <name val="Calibri"/>
      <family val="2"/>
    </font>
    <font>
      <sz val="10"/>
      <color indexed="32"/>
      <name val="Arial"/>
      <family val="2"/>
    </font>
    <font>
      <sz val="7"/>
      <name val="Small Fonts"/>
      <family val="2"/>
    </font>
    <font>
      <sz val="8"/>
      <name val="Helv"/>
    </font>
    <font>
      <sz val="10"/>
      <name val="GE Inspira"/>
    </font>
    <font>
      <sz val="7"/>
      <name val="Arial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1"/>
      <name val="ＭＳ Ｐゴシック"/>
      <family val="3"/>
      <charset val="128"/>
    </font>
    <font>
      <i/>
      <sz val="9"/>
      <color indexed="10"/>
      <name val="Arial"/>
      <family val="2"/>
    </font>
    <font>
      <b/>
      <sz val="10"/>
      <name val="MS Sans Serif"/>
      <family val="2"/>
    </font>
    <font>
      <sz val="10"/>
      <color indexed="3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8"/>
      <color indexed="16"/>
      <name val="Century Schoolbook"/>
      <family val="1"/>
    </font>
    <font>
      <sz val="10"/>
      <color indexed="60"/>
      <name val="Gill Sans"/>
      <family val="2"/>
    </font>
    <font>
      <b/>
      <sz val="12"/>
      <color indexed="12"/>
      <name val="Arial"/>
      <family val="2"/>
    </font>
    <font>
      <b/>
      <i/>
      <sz val="10"/>
      <name val="Times New Roman"/>
      <family val="1"/>
    </font>
    <font>
      <b/>
      <sz val="13"/>
      <color indexed="9"/>
      <name val="Arial"/>
      <family val="2"/>
    </font>
    <font>
      <b/>
      <sz val="10"/>
      <color indexed="12"/>
      <name val="Arial"/>
      <family val="2"/>
    </font>
    <font>
      <b/>
      <sz val="11"/>
      <name val="Helv"/>
      <family val="2"/>
    </font>
    <font>
      <b/>
      <i/>
      <sz val="10"/>
      <name val="Arial"/>
      <family val="2"/>
    </font>
    <font>
      <sz val="12"/>
      <color indexed="17"/>
      <name val="SWISS"/>
      <family val="2"/>
    </font>
    <font>
      <b/>
      <u/>
      <sz val="9"/>
      <name val="Gill Sans"/>
      <family val="2"/>
    </font>
    <font>
      <b/>
      <sz val="10"/>
      <name val="Courier New"/>
      <family val="3"/>
    </font>
    <font>
      <i/>
      <sz val="10"/>
      <name val="Courier New"/>
      <family val="3"/>
    </font>
    <font>
      <b/>
      <sz val="10"/>
      <color indexed="18"/>
      <name val="Helv"/>
    </font>
    <font>
      <b/>
      <sz val="10"/>
      <name val="Times"/>
      <family val="1"/>
    </font>
    <font>
      <b/>
      <sz val="18"/>
      <color indexed="62"/>
      <name val="Cambria"/>
      <family val="2"/>
    </font>
    <font>
      <b/>
      <i/>
      <sz val="14"/>
      <color indexed="9"/>
      <name val="Times New Roman"/>
      <family val="1"/>
    </font>
    <font>
      <u val="doubleAccounting"/>
      <sz val="10"/>
      <name val="Helv"/>
    </font>
    <font>
      <u val="doubleAccounting"/>
      <sz val="12"/>
      <name val="Times New Roman"/>
      <family val="1"/>
    </font>
    <font>
      <sz val="9"/>
      <color indexed="55"/>
      <name val="Arial"/>
      <family val="2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4"/>
      <name val="ＭＳ 明朝"/>
      <family val="1"/>
      <charset val="128"/>
    </font>
    <font>
      <u/>
      <sz val="11"/>
      <color indexed="36"/>
      <name val="ＭＳ Ｐゴシック"/>
      <family val="3"/>
      <charset val="128"/>
    </font>
    <font>
      <sz val="10"/>
      <name val="Osaka"/>
      <family val="3"/>
      <charset val="12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Times New Roman"/>
    </font>
    <font>
      <sz val="8"/>
      <name val="Times New Roman"/>
      <family val="1"/>
    </font>
    <font>
      <sz val="8"/>
      <name val="Univers"/>
    </font>
    <font>
      <sz val="11"/>
      <color theme="1"/>
      <name val="Calibri"/>
      <family val="2"/>
      <scheme val="minor"/>
    </font>
    <font>
      <sz val="11"/>
      <color theme="1"/>
      <name val="GE Inspira"/>
      <family val="2"/>
    </font>
    <font>
      <u/>
      <sz val="11"/>
      <color theme="10"/>
      <name val="Calibri"/>
      <family val="2"/>
    </font>
    <font>
      <sz val="11"/>
      <color rgb="FF3F3F76"/>
      <name val="Cambria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8" tint="0.59999389629810485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4"/>
      <color theme="1"/>
      <name val="Times New Roman"/>
      <family val="1"/>
    </font>
    <font>
      <sz val="11"/>
      <color theme="0" tint="-0.1499984740745262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u/>
      <sz val="16"/>
      <name val="Calibri"/>
      <family val="2"/>
      <scheme val="minor"/>
    </font>
    <font>
      <i/>
      <sz val="1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5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5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gray0625">
        <bgColor indexed="22"/>
      </patternFill>
    </fill>
    <fill>
      <patternFill patternType="solid">
        <fgColor indexed="1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11"/>
      </patternFill>
    </fill>
    <fill>
      <patternFill patternType="gray125">
        <fgColor indexed="11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gray125">
        <fgColor indexed="22"/>
        <bgColor indexed="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17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26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C9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5C42"/>
        <bgColor indexed="64"/>
      </patternFill>
    </fill>
    <fill>
      <patternFill patternType="solid">
        <fgColor rgb="FFFFC425"/>
        <bgColor indexed="64"/>
      </patternFill>
    </fill>
    <fill>
      <patternFill patternType="solid">
        <fgColor theme="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41"/>
      </left>
      <right style="thin">
        <color indexed="9"/>
      </right>
      <top style="thin">
        <color indexed="41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/>
      <bottom style="medium">
        <color indexed="64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medium">
        <color indexed="23"/>
      </left>
      <right/>
      <top style="medium">
        <color indexed="23"/>
      </top>
      <bottom/>
      <diagonal/>
    </border>
    <border>
      <left/>
      <right/>
      <top style="medium">
        <color indexed="23"/>
      </top>
      <bottom/>
      <diagonal/>
    </border>
    <border>
      <left/>
      <right style="medium">
        <color indexed="23"/>
      </right>
      <top style="medium">
        <color indexed="23"/>
      </top>
      <bottom/>
      <diagonal/>
    </border>
    <border>
      <left style="medium">
        <color indexed="61"/>
      </left>
      <right/>
      <top/>
      <bottom/>
      <diagonal/>
    </border>
    <border>
      <left style="medium">
        <color indexed="60"/>
      </left>
      <right/>
      <top/>
      <bottom/>
      <diagonal/>
    </border>
    <border>
      <left style="medium">
        <color indexed="59"/>
      </left>
      <right/>
      <top/>
      <bottom/>
      <diagonal/>
    </border>
    <border>
      <left style="medium">
        <color indexed="61"/>
      </left>
      <right style="medium">
        <color indexed="61"/>
      </right>
      <top style="medium">
        <color indexed="61"/>
      </top>
      <bottom style="medium">
        <color indexed="61"/>
      </bottom>
      <diagonal/>
    </border>
    <border>
      <left style="medium">
        <color indexed="60"/>
      </left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medium">
        <color indexed="59"/>
      </left>
      <right style="medium">
        <color indexed="59"/>
      </right>
      <top style="medium">
        <color indexed="59"/>
      </top>
      <bottom style="medium">
        <color indexed="59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4">
    <xf numFmtId="0" fontId="0" fillId="0" borderId="0"/>
    <xf numFmtId="171" fontId="8" fillId="0" borderId="0">
      <alignment horizontal="left" wrapText="1"/>
    </xf>
    <xf numFmtId="0" fontId="8" fillId="0" borderId="0">
      <alignment vertical="top"/>
    </xf>
    <xf numFmtId="0" fontId="8" fillId="0" borderId="0"/>
    <xf numFmtId="0" fontId="8" fillId="0" borderId="0"/>
    <xf numFmtId="0" fontId="15" fillId="0" borderId="0" applyNumberFormat="0" applyFill="0" applyBorder="0" applyAlignment="0" applyProtection="0">
      <alignment vertical="top"/>
    </xf>
    <xf numFmtId="0" fontId="16" fillId="0" borderId="0" applyNumberFormat="0" applyFill="0" applyBorder="0" applyAlignment="0" applyProtection="0">
      <alignment vertical="top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</xf>
    <xf numFmtId="0" fontId="18" fillId="0" borderId="1" applyBorder="0">
      <alignment horizontal="left"/>
    </xf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6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6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176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3" fillId="0" borderId="0"/>
    <xf numFmtId="179" fontId="8" fillId="0" borderId="0" applyFont="0" applyFill="0" applyBorder="0" applyAlignment="0" applyProtection="0"/>
    <xf numFmtId="0" fontId="24" fillId="0" borderId="0"/>
    <xf numFmtId="179" fontId="8" fillId="0" borderId="0" applyFont="0" applyFill="0" applyBorder="0" applyAlignment="0" applyProtection="0"/>
    <xf numFmtId="0" fontId="25" fillId="0" borderId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4" fillId="0" borderId="0"/>
    <xf numFmtId="180" fontId="8" fillId="0" borderId="0" applyFont="0" applyFill="0" applyBorder="0" applyAlignment="0" applyProtection="0"/>
    <xf numFmtId="0" fontId="25" fillId="0" borderId="0"/>
    <xf numFmtId="0" fontId="23" fillId="0" borderId="0"/>
    <xf numFmtId="0" fontId="26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6" fillId="0" borderId="0"/>
    <xf numFmtId="0" fontId="22" fillId="0" borderId="0"/>
    <xf numFmtId="0" fontId="21" fillId="0" borderId="0"/>
    <xf numFmtId="0" fontId="20" fillId="0" borderId="0"/>
    <xf numFmtId="0" fontId="21" fillId="0" borderId="0"/>
    <xf numFmtId="0" fontId="24" fillId="0" borderId="0"/>
    <xf numFmtId="0" fontId="25" fillId="0" borderId="0"/>
    <xf numFmtId="180" fontId="8" fillId="0" borderId="0" applyFont="0" applyFill="0" applyBorder="0" applyAlignment="0" applyProtection="0"/>
    <xf numFmtId="0" fontId="20" fillId="0" borderId="0"/>
    <xf numFmtId="0" fontId="21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0" fillId="0" borderId="0"/>
    <xf numFmtId="179" fontId="8" fillId="0" borderId="0" applyFont="0" applyFill="0" applyBorder="0" applyAlignment="0" applyProtection="0"/>
    <xf numFmtId="0" fontId="21" fillId="0" borderId="0"/>
    <xf numFmtId="0" fontId="21" fillId="0" borderId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0" fontId="21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0" fillId="0" borderId="0"/>
    <xf numFmtId="0" fontId="21" fillId="0" borderId="0"/>
    <xf numFmtId="0" fontId="20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1" fillId="0" borderId="0"/>
    <xf numFmtId="0" fontId="21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2" fillId="0" borderId="0"/>
    <xf numFmtId="0" fontId="21" fillId="0" borderId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0" fontId="20" fillId="0" borderId="0"/>
    <xf numFmtId="0" fontId="21" fillId="0" borderId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0" fillId="0" borderId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180" fontId="8" fillId="0" borderId="0" applyFont="0" applyFill="0" applyBorder="0" applyAlignment="0" applyProtection="0"/>
    <xf numFmtId="0" fontId="21" fillId="0" borderId="0"/>
    <xf numFmtId="0" fontId="21" fillId="0" borderId="0"/>
    <xf numFmtId="0" fontId="23" fillId="0" borderId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6" fillId="0" borderId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1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22" fillId="0" borderId="0"/>
    <xf numFmtId="0" fontId="21" fillId="0" borderId="0"/>
    <xf numFmtId="0" fontId="27" fillId="0" borderId="0"/>
    <xf numFmtId="0" fontId="22" fillId="0" borderId="0"/>
    <xf numFmtId="0" fontId="2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8" fillId="0" borderId="0" applyFont="0" applyFill="0" applyBorder="0" applyAlignment="0" applyProtection="0"/>
    <xf numFmtId="0" fontId="8" fillId="0" borderId="0"/>
    <xf numFmtId="173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0" fillId="0" borderId="0"/>
    <xf numFmtId="180" fontId="8" fillId="0" borderId="0" applyFont="0" applyFill="0" applyBorder="0" applyAlignment="0" applyProtection="0"/>
    <xf numFmtId="0" fontId="21" fillId="0" borderId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0" fillId="0" borderId="0"/>
    <xf numFmtId="0" fontId="21" fillId="0" borderId="0"/>
    <xf numFmtId="0" fontId="22" fillId="0" borderId="0"/>
    <xf numFmtId="0" fontId="21" fillId="0" borderId="0"/>
    <xf numFmtId="180" fontId="8" fillId="0" borderId="0" applyFont="0" applyFill="0" applyBorder="0" applyAlignment="0" applyProtection="0"/>
    <xf numFmtId="0" fontId="20" fillId="0" borderId="0"/>
    <xf numFmtId="40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0" fontId="20" fillId="0" borderId="0"/>
    <xf numFmtId="0" fontId="21" fillId="0" borderId="0"/>
    <xf numFmtId="40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40" fontId="19" fillId="0" borderId="0" applyFont="0" applyFill="0" applyBorder="0" applyAlignment="0" applyProtection="0"/>
    <xf numFmtId="0" fontId="20" fillId="0" borderId="0"/>
    <xf numFmtId="0" fontId="21" fillId="0" borderId="0"/>
    <xf numFmtId="8" fontId="19" fillId="0" borderId="0" applyFont="0" applyFill="0" applyBorder="0" applyAlignment="0" applyProtection="0"/>
    <xf numFmtId="0" fontId="21" fillId="0" borderId="0"/>
    <xf numFmtId="40" fontId="19" fillId="0" borderId="0" applyFont="0" applyFill="0" applyBorder="0" applyAlignment="0" applyProtection="0"/>
    <xf numFmtId="8" fontId="19" fillId="0" borderId="0" applyFont="0" applyFill="0" applyBorder="0" applyAlignment="0" applyProtection="0"/>
    <xf numFmtId="0" fontId="22" fillId="0" borderId="0"/>
    <xf numFmtId="183" fontId="8" fillId="0" borderId="0" applyFont="0" applyFill="0" applyBorder="0" applyAlignment="0" applyProtection="0"/>
    <xf numFmtId="0" fontId="22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183" fontId="8" fillId="0" borderId="0" applyFont="0" applyFill="0" applyBorder="0" applyAlignment="0" applyProtection="0"/>
    <xf numFmtId="0" fontId="21" fillId="0" borderId="0"/>
    <xf numFmtId="0" fontId="21" fillId="0" borderId="0"/>
    <xf numFmtId="183" fontId="8" fillId="0" borderId="0" applyFont="0" applyFill="0" applyBorder="0" applyAlignment="0" applyProtection="0"/>
    <xf numFmtId="0" fontId="24" fillId="0" borderId="0"/>
    <xf numFmtId="0" fontId="25" fillId="0" borderId="0"/>
    <xf numFmtId="0" fontId="22" fillId="0" borderId="0"/>
    <xf numFmtId="0" fontId="21" fillId="0" borderId="0"/>
    <xf numFmtId="0" fontId="19" fillId="0" borderId="0"/>
    <xf numFmtId="0" fontId="28" fillId="0" borderId="0"/>
    <xf numFmtId="0" fontId="29" fillId="0" borderId="0"/>
    <xf numFmtId="0" fontId="30" fillId="0" borderId="0"/>
    <xf numFmtId="0" fontId="29" fillId="0" borderId="0"/>
    <xf numFmtId="0" fontId="8" fillId="0" borderId="0"/>
    <xf numFmtId="0" fontId="8" fillId="0" borderId="0"/>
    <xf numFmtId="0" fontId="23" fillId="0" borderId="0"/>
    <xf numFmtId="180" fontId="8" fillId="0" borderId="0" applyFont="0" applyFill="0" applyBorder="0" applyAlignment="0" applyProtection="0"/>
    <xf numFmtId="0" fontId="26" fillId="0" borderId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180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179" fontId="8" fillId="0" borderId="0" applyFont="0" applyFill="0" applyBorder="0" applyAlignment="0" applyProtection="0"/>
    <xf numFmtId="0" fontId="23" fillId="0" borderId="0"/>
    <xf numFmtId="0" fontId="26" fillId="0" borderId="0"/>
    <xf numFmtId="0" fontId="27" fillId="0" borderId="0"/>
    <xf numFmtId="175" fontId="8" fillId="0" borderId="0" applyFont="0" applyFill="0" applyBorder="0" applyAlignment="0" applyProtection="0"/>
    <xf numFmtId="0" fontId="23" fillId="0" borderId="0"/>
    <xf numFmtId="175" fontId="8" fillId="0" borderId="0" applyFont="0" applyFill="0" applyBorder="0" applyAlignment="0" applyProtection="0"/>
    <xf numFmtId="0" fontId="26" fillId="0" borderId="0"/>
    <xf numFmtId="0" fontId="23" fillId="0" borderId="0"/>
    <xf numFmtId="0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0" fontId="26" fillId="0" borderId="0"/>
    <xf numFmtId="17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3" fillId="0" borderId="0"/>
    <xf numFmtId="0" fontId="8" fillId="0" borderId="0" applyFont="0" applyFill="0" applyBorder="0" applyAlignment="0" applyProtection="0"/>
    <xf numFmtId="0" fontId="26" fillId="0" borderId="0"/>
    <xf numFmtId="0" fontId="8" fillId="0" borderId="0"/>
    <xf numFmtId="180" fontId="8" fillId="0" borderId="0" applyFont="0" applyFill="0" applyBorder="0" applyAlignment="0" applyProtection="0"/>
    <xf numFmtId="0" fontId="8" fillId="0" borderId="0"/>
    <xf numFmtId="0" fontId="8" fillId="0" borderId="0"/>
    <xf numFmtId="180" fontId="8" fillId="0" borderId="0" applyFont="0" applyFill="0" applyBorder="0" applyAlignment="0" applyProtection="0"/>
    <xf numFmtId="0" fontId="8" fillId="0" borderId="0"/>
    <xf numFmtId="0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179" fontId="8" fillId="0" borderId="0" applyFont="0" applyFill="0" applyBorder="0" applyAlignment="0" applyProtection="0"/>
    <xf numFmtId="0" fontId="21" fillId="0" borderId="0"/>
    <xf numFmtId="0" fontId="21" fillId="0" borderId="0"/>
    <xf numFmtId="179" fontId="8" fillId="0" borderId="0" applyFont="0" applyFill="0" applyBorder="0" applyAlignment="0" applyProtection="0"/>
    <xf numFmtId="0" fontId="22" fillId="0" borderId="0"/>
    <xf numFmtId="0" fontId="21" fillId="0" borderId="0"/>
    <xf numFmtId="177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27" fillId="0" borderId="0"/>
    <xf numFmtId="177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8" fillId="0" borderId="0"/>
    <xf numFmtId="0" fontId="8" fillId="0" borderId="0"/>
    <xf numFmtId="0" fontId="28" fillId="0" borderId="0"/>
    <xf numFmtId="0" fontId="23" fillId="0" borderId="0"/>
    <xf numFmtId="0" fontId="26" fillId="0" borderId="0"/>
    <xf numFmtId="0" fontId="29" fillId="0" borderId="0"/>
    <xf numFmtId="0" fontId="22" fillId="0" borderId="0"/>
    <xf numFmtId="184" fontId="8" fillId="0" borderId="0" applyFont="0" applyFill="0" applyBorder="0" applyAlignment="0" applyProtection="0"/>
    <xf numFmtId="0" fontId="22" fillId="0" borderId="0"/>
    <xf numFmtId="0" fontId="21" fillId="0" borderId="0"/>
    <xf numFmtId="184" fontId="8" fillId="0" borderId="0" applyFont="0" applyFill="0" applyBorder="0" applyAlignment="0" applyProtection="0"/>
    <xf numFmtId="0" fontId="22" fillId="0" borderId="0"/>
    <xf numFmtId="0" fontId="21" fillId="0" borderId="0"/>
    <xf numFmtId="184" fontId="8" fillId="0" borderId="0" applyFont="0" applyFill="0" applyBorder="0" applyAlignment="0" applyProtection="0"/>
    <xf numFmtId="0" fontId="21" fillId="0" borderId="0"/>
    <xf numFmtId="184" fontId="8" fillId="0" borderId="0" applyFont="0" applyFill="0" applyBorder="0" applyAlignment="0" applyProtection="0"/>
    <xf numFmtId="171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/>
    <xf numFmtId="0" fontId="8" fillId="0" borderId="0"/>
    <xf numFmtId="0" fontId="8" fillId="0" borderId="0" applyNumberFormat="0" applyFill="0" applyBorder="0" applyAlignment="0" applyProtection="0"/>
    <xf numFmtId="171" fontId="8" fillId="0" borderId="0">
      <alignment horizontal="left" wrapText="1"/>
    </xf>
    <xf numFmtId="0" fontId="8" fillId="0" borderId="0">
      <alignment horizontal="left" wrapText="1"/>
    </xf>
    <xf numFmtId="0" fontId="31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>
      <alignment horizontal="left" wrapText="1"/>
    </xf>
    <xf numFmtId="171" fontId="8" fillId="0" borderId="0">
      <alignment horizontal="left" wrapText="1"/>
    </xf>
    <xf numFmtId="0" fontId="8" fillId="0" borderId="0">
      <alignment horizontal="left" wrapText="1"/>
    </xf>
    <xf numFmtId="171" fontId="8" fillId="0" borderId="0">
      <alignment horizontal="left" wrapText="1"/>
    </xf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0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/>
    <xf numFmtId="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 applyNumberFormat="0" applyFill="0" applyBorder="0" applyAlignment="0" applyProtection="0"/>
    <xf numFmtId="0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171" fontId="8" fillId="0" borderId="0">
      <alignment horizontal="left" wrapText="1"/>
    </xf>
    <xf numFmtId="0" fontId="8" fillId="0" borderId="0">
      <alignment horizontal="left" wrapText="1"/>
    </xf>
    <xf numFmtId="171" fontId="8" fillId="0" borderId="0">
      <alignment horizontal="left" wrapText="1"/>
    </xf>
    <xf numFmtId="185" fontId="32" fillId="0" borderId="0" applyFont="0" applyFill="0" applyBorder="0" applyAlignment="0" applyProtection="0"/>
    <xf numFmtId="186" fontId="32" fillId="0" borderId="0" applyFont="0" applyFill="0" applyBorder="0" applyAlignment="0" applyProtection="0"/>
    <xf numFmtId="0" fontId="8" fillId="0" borderId="0"/>
    <xf numFmtId="187" fontId="8" fillId="0" borderId="0" applyBorder="0"/>
    <xf numFmtId="187" fontId="8" fillId="0" borderId="0" applyBorder="0"/>
    <xf numFmtId="187" fontId="8" fillId="0" borderId="0" applyBorder="0"/>
    <xf numFmtId="187" fontId="8" fillId="0" borderId="0" applyBorder="0"/>
    <xf numFmtId="187" fontId="8" fillId="0" borderId="0" applyBorder="0"/>
    <xf numFmtId="187" fontId="8" fillId="0" borderId="0" applyBorder="0"/>
    <xf numFmtId="188" fontId="8" fillId="0" borderId="0" applyBorder="0"/>
    <xf numFmtId="188" fontId="8" fillId="0" borderId="0" applyBorder="0"/>
    <xf numFmtId="188" fontId="8" fillId="0" borderId="0" applyBorder="0"/>
    <xf numFmtId="189" fontId="8" fillId="0" borderId="0" applyBorder="0"/>
    <xf numFmtId="189" fontId="8" fillId="0" borderId="0" applyBorder="0"/>
    <xf numFmtId="189" fontId="8" fillId="0" borderId="0" applyBorder="0"/>
    <xf numFmtId="0" fontId="1" fillId="3" borderId="0" applyNumberFormat="0" applyBorder="0" applyAlignment="0" applyProtection="0"/>
    <xf numFmtId="0" fontId="155" fillId="6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55" fillId="6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55" fillId="6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55" fillId="65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55" fillId="66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55" fillId="67" borderId="0" applyNumberFormat="0" applyBorder="0" applyAlignment="0" applyProtection="0"/>
    <xf numFmtId="0" fontId="1" fillId="5" borderId="0" applyNumberFormat="0" applyBorder="0" applyAlignment="0" applyProtection="0"/>
    <xf numFmtId="190" fontId="33" fillId="0" borderId="0" applyFont="0" applyFill="0" applyBorder="0" applyAlignment="0" applyProtection="0"/>
    <xf numFmtId="0" fontId="34" fillId="0" borderId="0"/>
    <xf numFmtId="0" fontId="1" fillId="11" borderId="0" applyNumberFormat="0" applyBorder="0" applyAlignment="0" applyProtection="0"/>
    <xf numFmtId="0" fontId="155" fillId="6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55" fillId="69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55" fillId="70" borderId="0" applyNumberFormat="0" applyBorder="0" applyAlignment="0" applyProtection="0"/>
    <xf numFmtId="0" fontId="1" fillId="13" borderId="0" applyNumberFormat="0" applyBorder="0" applyAlignment="0" applyProtection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55" fillId="71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55" fillId="72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55" fillId="73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35" fillId="16" borderId="0" applyNumberFormat="0" applyBorder="0" applyAlignment="0" applyProtection="0"/>
    <xf numFmtId="0" fontId="161" fillId="7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2" borderId="0" applyNumberFormat="0" applyBorder="0" applyAlignment="0" applyProtection="0"/>
    <xf numFmtId="0" fontId="161" fillId="75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161" fillId="76" borderId="0" applyNumberFormat="0" applyBorder="0" applyAlignment="0" applyProtection="0"/>
    <xf numFmtId="0" fontId="35" fillId="13" borderId="0" applyNumberFormat="0" applyBorder="0" applyAlignment="0" applyProtection="0"/>
    <xf numFmtId="0" fontId="35" fillId="7" borderId="0" applyNumberFormat="0" applyBorder="0" applyAlignment="0" applyProtection="0"/>
    <xf numFmtId="0" fontId="35" fillId="11" borderId="0" applyNumberFormat="0" applyBorder="0" applyAlignment="0" applyProtection="0"/>
    <xf numFmtId="0" fontId="161" fillId="77" borderId="0" applyNumberFormat="0" applyBorder="0" applyAlignment="0" applyProtection="0"/>
    <xf numFmtId="0" fontId="35" fillId="17" borderId="0" applyNumberFormat="0" applyBorder="0" applyAlignment="0" applyProtection="0"/>
    <xf numFmtId="0" fontId="35" fillId="11" borderId="0" applyNumberFormat="0" applyBorder="0" applyAlignment="0" applyProtection="0"/>
    <xf numFmtId="0" fontId="35" fillId="16" borderId="0" applyNumberFormat="0" applyBorder="0" applyAlignment="0" applyProtection="0"/>
    <xf numFmtId="0" fontId="161" fillId="78" borderId="0" applyNumberFormat="0" applyBorder="0" applyAlignment="0" applyProtection="0"/>
    <xf numFmtId="0" fontId="35" fillId="16" borderId="0" applyNumberFormat="0" applyBorder="0" applyAlignment="0" applyProtection="0"/>
    <xf numFmtId="0" fontId="35" fillId="5" borderId="0" applyNumberFormat="0" applyBorder="0" applyAlignment="0" applyProtection="0"/>
    <xf numFmtId="0" fontId="161" fillId="79" borderId="0" applyNumberFormat="0" applyBorder="0" applyAlignment="0" applyProtection="0"/>
    <xf numFmtId="0" fontId="35" fillId="18" borderId="0" applyNumberFormat="0" applyBorder="0" applyAlignment="0" applyProtection="0"/>
    <xf numFmtId="0" fontId="35" fillId="5" borderId="0" applyNumberFormat="0" applyBorder="0" applyAlignment="0" applyProtection="0"/>
    <xf numFmtId="0" fontId="8" fillId="0" borderId="0"/>
    <xf numFmtId="0" fontId="35" fillId="16" borderId="0" applyNumberFormat="0" applyBorder="0" applyAlignment="0" applyProtection="0"/>
    <xf numFmtId="0" fontId="161" fillId="80" borderId="0" applyNumberFormat="0" applyBorder="0" applyAlignment="0" applyProtection="0"/>
    <xf numFmtId="0" fontId="35" fillId="19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161" fillId="81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61" fillId="82" borderId="0" applyNumberFormat="0" applyBorder="0" applyAlignment="0" applyProtection="0"/>
    <xf numFmtId="0" fontId="35" fillId="21" borderId="0" applyNumberFormat="0" applyBorder="0" applyAlignment="0" applyProtection="0"/>
    <xf numFmtId="0" fontId="35" fillId="22" borderId="0" applyNumberFormat="0" applyBorder="0" applyAlignment="0" applyProtection="0"/>
    <xf numFmtId="0" fontId="161" fillId="83" borderId="0" applyNumberFormat="0" applyBorder="0" applyAlignment="0" applyProtection="0"/>
    <xf numFmtId="0" fontId="35" fillId="17" borderId="0" applyNumberFormat="0" applyBorder="0" applyAlignment="0" applyProtection="0"/>
    <xf numFmtId="0" fontId="35" fillId="22" borderId="0" applyNumberFormat="0" applyBorder="0" applyAlignment="0" applyProtection="0"/>
    <xf numFmtId="0" fontId="35" fillId="16" borderId="0" applyNumberFormat="0" applyBorder="0" applyAlignment="0" applyProtection="0"/>
    <xf numFmtId="0" fontId="161" fillId="84" borderId="0" applyNumberFormat="0" applyBorder="0" applyAlignment="0" applyProtection="0"/>
    <xf numFmtId="0" fontId="35" fillId="16" borderId="0" applyNumberFormat="0" applyBorder="0" applyAlignment="0" applyProtection="0"/>
    <xf numFmtId="0" fontId="35" fillId="23" borderId="0" applyNumberFormat="0" applyBorder="0" applyAlignment="0" applyProtection="0"/>
    <xf numFmtId="0" fontId="161" fillId="85" borderId="0" applyNumberFormat="0" applyBorder="0" applyAlignment="0" applyProtection="0"/>
    <xf numFmtId="0" fontId="35" fillId="23" borderId="0" applyNumberFormat="0" applyBorder="0" applyAlignment="0" applyProtection="0"/>
    <xf numFmtId="6" fontId="4" fillId="0" borderId="0">
      <alignment horizontal="right"/>
    </xf>
    <xf numFmtId="191" fontId="36" fillId="0" borderId="0"/>
    <xf numFmtId="192" fontId="8" fillId="24" borderId="2">
      <alignment horizontal="center" vertical="center"/>
    </xf>
    <xf numFmtId="192" fontId="8" fillId="24" borderId="2">
      <alignment horizontal="center" vertical="center"/>
    </xf>
    <xf numFmtId="192" fontId="8" fillId="24" borderId="2">
      <alignment horizontal="center" vertical="center"/>
    </xf>
    <xf numFmtId="0" fontId="31" fillId="0" borderId="0"/>
    <xf numFmtId="3" fontId="37" fillId="0" borderId="0"/>
    <xf numFmtId="0" fontId="32" fillId="0" borderId="0"/>
    <xf numFmtId="3" fontId="38" fillId="25" borderId="3">
      <alignment horizontal="center"/>
      <protection locked="0"/>
    </xf>
    <xf numFmtId="3" fontId="38" fillId="25" borderId="0">
      <alignment horizontal="center"/>
      <protection locked="0"/>
    </xf>
    <xf numFmtId="17" fontId="39" fillId="25" borderId="3">
      <alignment horizontal="center"/>
      <protection locked="0"/>
    </xf>
    <xf numFmtId="0" fontId="9" fillId="26" borderId="0" applyNumberFormat="0" applyFont="0" applyBorder="0" applyAlignment="0" applyProtection="0">
      <protection locked="0"/>
    </xf>
    <xf numFmtId="0" fontId="40" fillId="4" borderId="0" applyNumberFormat="0" applyBorder="0" applyAlignment="0" applyProtection="0"/>
    <xf numFmtId="0" fontId="162" fillId="86" borderId="0" applyNumberFormat="0" applyBorder="0" applyAlignment="0" applyProtection="0"/>
    <xf numFmtId="0" fontId="40" fillId="4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93" fontId="8" fillId="0" borderId="0" applyFont="0" applyFill="0" applyBorder="0" applyAlignment="0"/>
    <xf numFmtId="0" fontId="42" fillId="0" borderId="4" applyNumberFormat="0" applyFill="0" applyAlignment="0" applyProtection="0"/>
    <xf numFmtId="0" fontId="43" fillId="27" borderId="5"/>
    <xf numFmtId="191" fontId="44" fillId="0" borderId="0"/>
    <xf numFmtId="194" fontId="45" fillId="0" borderId="0"/>
    <xf numFmtId="166" fontId="33" fillId="0" borderId="0" applyFill="0" applyBorder="0" applyProtection="0"/>
    <xf numFmtId="195" fontId="32" fillId="0" borderId="0" applyFont="0" applyFill="0" applyBorder="0" applyAlignment="0" applyProtection="0"/>
    <xf numFmtId="4" fontId="46" fillId="0" borderId="6">
      <alignment horizontal="centerContinuous"/>
    </xf>
    <xf numFmtId="169" fontId="4" fillId="0" borderId="0" applyFill="0"/>
    <xf numFmtId="169" fontId="4" fillId="0" borderId="0">
      <alignment horizontal="center"/>
    </xf>
    <xf numFmtId="0" fontId="4" fillId="0" borderId="0" applyFill="0">
      <alignment horizontal="center"/>
    </xf>
    <xf numFmtId="169" fontId="7" fillId="0" borderId="7" applyFill="0"/>
    <xf numFmtId="0" fontId="8" fillId="0" borderId="0" applyFont="0" applyAlignment="0"/>
    <xf numFmtId="0" fontId="47" fillId="0" borderId="0" applyFill="0">
      <alignment vertical="top"/>
    </xf>
    <xf numFmtId="0" fontId="7" fillId="0" borderId="0" applyFill="0">
      <alignment horizontal="left" vertical="top"/>
    </xf>
    <xf numFmtId="169" fontId="48" fillId="0" borderId="8" applyFill="0"/>
    <xf numFmtId="0" fontId="8" fillId="0" borderId="0" applyNumberFormat="0" applyFont="0" applyAlignment="0"/>
    <xf numFmtId="0" fontId="47" fillId="0" borderId="0" applyFill="0">
      <alignment wrapText="1"/>
    </xf>
    <xf numFmtId="0" fontId="7" fillId="0" borderId="0" applyFill="0">
      <alignment horizontal="left" vertical="top" wrapText="1"/>
    </xf>
    <xf numFmtId="169" fontId="5" fillId="0" borderId="0" applyFill="0"/>
    <xf numFmtId="0" fontId="49" fillId="0" borderId="0" applyNumberFormat="0" applyFont="0" applyAlignment="0">
      <alignment horizontal="center"/>
    </xf>
    <xf numFmtId="0" fontId="50" fillId="0" borderId="0" applyFill="0">
      <alignment vertical="top" wrapText="1"/>
    </xf>
    <xf numFmtId="0" fontId="48" fillId="0" borderId="0" applyFill="0">
      <alignment horizontal="left" vertical="top" wrapText="1"/>
    </xf>
    <xf numFmtId="169" fontId="8" fillId="0" borderId="0" applyFill="0"/>
    <xf numFmtId="0" fontId="49" fillId="0" borderId="0" applyNumberFormat="0" applyFont="0" applyAlignment="0">
      <alignment horizontal="center"/>
    </xf>
    <xf numFmtId="0" fontId="51" fillId="0" borderId="0" applyFill="0">
      <alignment vertical="center" wrapText="1"/>
    </xf>
    <xf numFmtId="0" fontId="52" fillId="0" borderId="0">
      <alignment horizontal="left" vertical="center" wrapText="1"/>
    </xf>
    <xf numFmtId="169" fontId="53" fillId="0" borderId="0" applyFill="0"/>
    <xf numFmtId="0" fontId="49" fillId="0" borderId="0" applyNumberFormat="0" applyFont="0" applyAlignment="0">
      <alignment horizontal="center"/>
    </xf>
    <xf numFmtId="0" fontId="54" fillId="0" borderId="0" applyFill="0">
      <alignment horizontal="center" vertical="center" wrapText="1"/>
    </xf>
    <xf numFmtId="0" fontId="8" fillId="0" borderId="0" applyFill="0">
      <alignment horizontal="center" vertical="center" wrapText="1"/>
    </xf>
    <xf numFmtId="169" fontId="55" fillId="0" borderId="0" applyFill="0"/>
    <xf numFmtId="0" fontId="49" fillId="0" borderId="0" applyNumberFormat="0" applyFont="0" applyAlignment="0">
      <alignment horizontal="center"/>
    </xf>
    <xf numFmtId="0" fontId="56" fillId="0" borderId="0" applyFill="0">
      <alignment horizontal="center" vertical="center" wrapText="1"/>
    </xf>
    <xf numFmtId="0" fontId="57" fillId="0" borderId="0" applyFill="0">
      <alignment horizontal="center" vertical="center" wrapText="1"/>
    </xf>
    <xf numFmtId="169" fontId="58" fillId="0" borderId="0" applyFill="0"/>
    <xf numFmtId="0" fontId="49" fillId="0" borderId="0" applyNumberFormat="0" applyFont="0" applyAlignment="0">
      <alignment horizontal="center"/>
    </xf>
    <xf numFmtId="0" fontId="59" fillId="0" borderId="0">
      <alignment horizontal="center" wrapText="1"/>
    </xf>
    <xf numFmtId="0" fontId="55" fillId="0" borderId="0" applyFill="0">
      <alignment horizontal="center" wrapText="1"/>
    </xf>
    <xf numFmtId="38" fontId="60" fillId="0" borderId="3">
      <alignment horizontal="right"/>
    </xf>
    <xf numFmtId="196" fontId="3" fillId="0" borderId="0" applyFill="0" applyBorder="0" applyAlignment="0"/>
    <xf numFmtId="197" fontId="8" fillId="0" borderId="3">
      <alignment horizontal="center"/>
    </xf>
    <xf numFmtId="0" fontId="61" fillId="3" borderId="9" applyNumberFormat="0" applyAlignment="0" applyProtection="0"/>
    <xf numFmtId="0" fontId="163" fillId="87" borderId="65" applyNumberFormat="0" applyAlignment="0" applyProtection="0"/>
    <xf numFmtId="0" fontId="61" fillId="11" borderId="9" applyNumberFormat="0" applyAlignment="0" applyProtection="0"/>
    <xf numFmtId="0" fontId="61" fillId="3" borderId="9" applyNumberFormat="0" applyAlignment="0" applyProtection="0"/>
    <xf numFmtId="0" fontId="27" fillId="0" borderId="0">
      <alignment horizontal="centerContinuous"/>
    </xf>
    <xf numFmtId="4" fontId="62" fillId="0" borderId="0" applyNumberFormat="0" applyFill="0" applyBorder="0">
      <alignment horizontal="right" wrapText="1"/>
    </xf>
    <xf numFmtId="0" fontId="62" fillId="0" borderId="0" applyNumberFormat="0" applyFill="0" applyBorder="0">
      <alignment wrapText="1"/>
    </xf>
    <xf numFmtId="0" fontId="62" fillId="0" borderId="0" applyNumberFormat="0" applyFill="0" applyBorder="0">
      <alignment wrapText="1"/>
    </xf>
    <xf numFmtId="0" fontId="62" fillId="0" borderId="0" applyNumberFormat="0" applyFill="0" applyBorder="0">
      <alignment wrapText="1"/>
    </xf>
    <xf numFmtId="198" fontId="62" fillId="0" borderId="0" applyNumberFormat="0" applyFill="0" applyBorder="0">
      <alignment horizontal="right" wrapText="1"/>
    </xf>
    <xf numFmtId="0" fontId="62" fillId="0" borderId="0" applyNumberFormat="0" applyFill="0" applyBorder="0">
      <alignment wrapText="1"/>
    </xf>
    <xf numFmtId="0" fontId="63" fillId="28" borderId="10" applyNumberFormat="0" applyAlignment="0" applyProtection="0"/>
    <xf numFmtId="0" fontId="164" fillId="88" borderId="66" applyNumberFormat="0" applyAlignment="0" applyProtection="0"/>
    <xf numFmtId="0" fontId="63" fillId="28" borderId="10" applyNumberFormat="0" applyAlignment="0" applyProtection="0"/>
    <xf numFmtId="0" fontId="64" fillId="0" borderId="0" applyNumberFormat="0" applyFill="0" applyAlignment="0" applyProtection="0"/>
    <xf numFmtId="199" fontId="8" fillId="0" borderId="0"/>
    <xf numFmtId="200" fontId="33" fillId="0" borderId="0">
      <alignment horizontal="center"/>
    </xf>
    <xf numFmtId="3" fontId="65" fillId="0" borderId="0">
      <alignment horizontal="left"/>
    </xf>
    <xf numFmtId="3" fontId="66" fillId="0" borderId="0"/>
    <xf numFmtId="201" fontId="67" fillId="0" borderId="0">
      <alignment horizontal="center" wrapText="1"/>
    </xf>
    <xf numFmtId="0" fontId="68" fillId="0" borderId="4">
      <alignment horizontal="center"/>
    </xf>
    <xf numFmtId="43" fontId="155" fillId="0" borderId="0" applyFont="0" applyFill="0" applyBorder="0" applyAlignment="0" applyProtection="0"/>
    <xf numFmtId="194" fontId="8" fillId="0" borderId="0" applyFont="0" applyFill="0" applyBorder="0" applyAlignment="0" applyProtection="0"/>
    <xf numFmtId="202" fontId="8" fillId="0" borderId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15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156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155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203" fontId="69" fillId="0" borderId="0">
      <alignment horizontal="right"/>
    </xf>
    <xf numFmtId="203" fontId="70" fillId="0" borderId="0">
      <alignment horizontal="right"/>
    </xf>
    <xf numFmtId="0" fontId="71" fillId="0" borderId="0">
      <alignment horizontal="left" indent="1"/>
    </xf>
    <xf numFmtId="0" fontId="39" fillId="29" borderId="11" applyFont="0">
      <alignment wrapText="1"/>
    </xf>
    <xf numFmtId="43" fontId="8" fillId="0" borderId="0" applyFont="0" applyFill="0" applyBorder="0" applyAlignment="0" applyProtection="0"/>
    <xf numFmtId="204" fontId="8" fillId="0" borderId="0">
      <alignment horizontal="right"/>
    </xf>
    <xf numFmtId="204" fontId="69" fillId="0" borderId="0">
      <alignment horizontal="right"/>
    </xf>
    <xf numFmtId="44" fontId="155" fillId="0" borderId="0" applyFont="0" applyFill="0" applyBorder="0" applyAlignment="0" applyProtection="0"/>
    <xf numFmtId="189" fontId="39" fillId="0" borderId="0" applyFill="0" applyBorder="0">
      <protection locked="0"/>
    </xf>
    <xf numFmtId="172" fontId="4" fillId="0" borderId="0" applyFont="0" applyFill="0" applyBorder="0" applyAlignment="0"/>
    <xf numFmtId="205" fontId="8" fillId="0" borderId="0" applyFont="0" applyFill="0" applyBorder="0" applyAlignment="0" applyProtection="0"/>
    <xf numFmtId="206" fontId="39" fillId="0" borderId="0" applyFill="0" applyBorder="0">
      <protection locked="0"/>
    </xf>
    <xf numFmtId="206" fontId="8" fillId="0" borderId="0" applyFill="0" applyBorder="0"/>
    <xf numFmtId="44" fontId="4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5" fillId="0" borderId="0" applyFont="0" applyFill="0" applyBorder="0" applyAlignment="0" applyProtection="0"/>
    <xf numFmtId="44" fontId="155" fillId="0" borderId="0" applyFont="0" applyFill="0" applyBorder="0" applyAlignment="0" applyProtection="0"/>
    <xf numFmtId="44" fontId="159" fillId="0" borderId="0" applyFont="0" applyFill="0" applyBorder="0" applyAlignment="0" applyProtection="0"/>
    <xf numFmtId="44" fontId="1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55" fillId="0" borderId="0" applyFont="0" applyFill="0" applyBorder="0" applyAlignment="0" applyProtection="0"/>
    <xf numFmtId="207" fontId="8" fillId="0" borderId="0" applyFont="0" applyFill="0" applyBorder="0" applyAlignment="0" applyProtection="0"/>
    <xf numFmtId="204" fontId="70" fillId="0" borderId="0">
      <alignment horizontal="right"/>
    </xf>
    <xf numFmtId="208" fontId="8" fillId="0" borderId="0" applyFill="0" applyBorder="0"/>
    <xf numFmtId="209" fontId="9" fillId="0" borderId="0" applyFill="0" applyBorder="0"/>
    <xf numFmtId="210" fontId="32" fillId="0" borderId="0" applyFont="0" applyFill="0" applyBorder="0" applyAlignment="0" applyProtection="0"/>
    <xf numFmtId="0" fontId="8" fillId="0" borderId="3">
      <alignment horizontal="center"/>
    </xf>
    <xf numFmtId="6" fontId="72" fillId="0" borderId="0">
      <protection locked="0"/>
    </xf>
    <xf numFmtId="211" fontId="73" fillId="0" borderId="0" applyFont="0" applyFill="0" applyBorder="0" applyAlignment="0" applyProtection="0"/>
    <xf numFmtId="212" fontId="8" fillId="0" borderId="0" applyFont="0" applyFill="0" applyBorder="0" applyAlignment="0" applyProtection="0"/>
    <xf numFmtId="14" fontId="8" fillId="0" borderId="0" applyFont="0" applyFill="0" applyBorder="0" applyAlignment="0" applyProtection="0"/>
    <xf numFmtId="213" fontId="74" fillId="0" borderId="0" applyFont="0" applyFill="0" applyBorder="0" applyAlignment="0" applyProtection="0"/>
    <xf numFmtId="15" fontId="39" fillId="0" borderId="0" applyFill="0" applyBorder="0">
      <protection locked="0"/>
    </xf>
    <xf numFmtId="15" fontId="75" fillId="0" borderId="0" applyFill="0" applyBorder="0"/>
    <xf numFmtId="213" fontId="14" fillId="27" borderId="0">
      <alignment horizontal="center"/>
    </xf>
    <xf numFmtId="214" fontId="39" fillId="0" borderId="0" applyFont="0" applyFill="0" applyBorder="0" applyAlignment="0" applyProtection="0">
      <alignment vertical="top"/>
    </xf>
    <xf numFmtId="215" fontId="76" fillId="0" borderId="0" applyFont="0" applyFill="0" applyBorder="0" applyAlignment="0" applyProtection="0"/>
    <xf numFmtId="216" fontId="8" fillId="0" borderId="0" applyFont="0" applyFill="0" applyBorder="0" applyAlignment="0" applyProtection="0">
      <alignment wrapText="1"/>
    </xf>
    <xf numFmtId="165" fontId="57" fillId="30" borderId="0" applyNumberFormat="0" applyBorder="0" applyAlignment="0"/>
    <xf numFmtId="217" fontId="8" fillId="0" borderId="0" applyFont="0" applyFill="0" applyBorder="0" applyAlignment="0"/>
    <xf numFmtId="218" fontId="8" fillId="0" borderId="0" applyFont="0" applyFill="0" applyBorder="0" applyAlignment="0"/>
    <xf numFmtId="2" fontId="39" fillId="0" borderId="0" applyFill="0" applyBorder="0">
      <protection locked="0"/>
    </xf>
    <xf numFmtId="2" fontId="8" fillId="0" borderId="0" applyFill="0" applyBorder="0">
      <alignment horizontal="right"/>
    </xf>
    <xf numFmtId="219" fontId="8" fillId="0" borderId="0" applyFont="0" applyFill="0" applyBorder="0" applyAlignment="0" applyProtection="0"/>
    <xf numFmtId="220" fontId="39" fillId="0" borderId="0" applyFill="0" applyBorder="0">
      <protection locked="0"/>
    </xf>
    <xf numFmtId="220" fontId="8" fillId="0" borderId="0" applyFill="0" applyBorder="0">
      <alignment horizontal="right"/>
    </xf>
    <xf numFmtId="0" fontId="77" fillId="0" borderId="0" applyNumberFormat="0"/>
    <xf numFmtId="0" fontId="78" fillId="0" borderId="0">
      <alignment horizontal="centerContinuous"/>
    </xf>
    <xf numFmtId="0" fontId="78" fillId="0" borderId="0" applyNumberFormat="0"/>
    <xf numFmtId="4" fontId="8" fillId="0" borderId="0" applyProtection="0"/>
    <xf numFmtId="0" fontId="79" fillId="0" borderId="0">
      <alignment horizontal="left"/>
    </xf>
    <xf numFmtId="0" fontId="57" fillId="29" borderId="0" applyNumberFormat="0" applyBorder="0" applyAlignment="0"/>
    <xf numFmtId="204" fontId="4" fillId="0" borderId="0">
      <alignment horizontal="right"/>
    </xf>
    <xf numFmtId="221" fontId="4" fillId="0" borderId="0"/>
    <xf numFmtId="221" fontId="80" fillId="0" borderId="0">
      <alignment horizontal="right"/>
    </xf>
    <xf numFmtId="0" fontId="8" fillId="30" borderId="3">
      <alignment horizontal="center"/>
    </xf>
    <xf numFmtId="0" fontId="11" fillId="0" borderId="0">
      <protection hidden="1"/>
    </xf>
    <xf numFmtId="222" fontId="8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223" fontId="76" fillId="0" borderId="0" applyBorder="0"/>
    <xf numFmtId="224" fontId="3" fillId="0" borderId="0" applyFont="0" applyFill="0" applyBorder="0" applyProtection="0">
      <alignment vertical="top"/>
    </xf>
    <xf numFmtId="0" fontId="8" fillId="0" borderId="0"/>
    <xf numFmtId="225" fontId="8" fillId="0" borderId="0">
      <protection locked="0"/>
    </xf>
    <xf numFmtId="225" fontId="8" fillId="0" borderId="0">
      <protection locked="0"/>
    </xf>
    <xf numFmtId="225" fontId="8" fillId="0" borderId="0">
      <protection locked="0"/>
    </xf>
    <xf numFmtId="0" fontId="82" fillId="6" borderId="0" applyNumberFormat="0" applyBorder="0" applyAlignment="0" applyProtection="0"/>
    <xf numFmtId="0" fontId="166" fillId="89" borderId="0" applyNumberFormat="0" applyBorder="0" applyAlignment="0" applyProtection="0"/>
    <xf numFmtId="0" fontId="82" fillId="6" borderId="0" applyNumberFormat="0" applyBorder="0" applyAlignment="0" applyProtection="0"/>
    <xf numFmtId="0" fontId="82" fillId="6" borderId="0" applyNumberFormat="0" applyBorder="0" applyAlignment="0" applyProtection="0"/>
    <xf numFmtId="38" fontId="4" fillId="31" borderId="0" applyNumberFormat="0" applyBorder="0" applyAlignment="0" applyProtection="0"/>
    <xf numFmtId="9" fontId="39" fillId="25" borderId="0">
      <alignment horizontal="right"/>
      <protection locked="0"/>
    </xf>
    <xf numFmtId="0" fontId="8" fillId="32" borderId="0"/>
    <xf numFmtId="0" fontId="83" fillId="0" borderId="0" applyNumberFormat="0" applyFill="0" applyBorder="0" applyAlignment="0" applyProtection="0"/>
    <xf numFmtId="0" fontId="48" fillId="0" borderId="12" applyNumberFormat="0" applyAlignment="0" applyProtection="0">
      <alignment horizontal="left" vertical="center"/>
    </xf>
    <xf numFmtId="0" fontId="48" fillId="0" borderId="13">
      <alignment horizontal="left" vertical="center"/>
    </xf>
    <xf numFmtId="0" fontId="48" fillId="0" borderId="0" applyNumberFormat="0" applyFill="0" applyBorder="0" applyAlignment="0" applyProtection="0"/>
    <xf numFmtId="226" fontId="43" fillId="33" borderId="0">
      <alignment horizontal="left"/>
    </xf>
    <xf numFmtId="0" fontId="84" fillId="0" borderId="15" applyNumberFormat="0" applyFill="0" applyAlignment="0" applyProtection="0"/>
    <xf numFmtId="0" fontId="167" fillId="0" borderId="67" applyNumberFormat="0" applyFill="0" applyAlignment="0" applyProtection="0"/>
    <xf numFmtId="0" fontId="146" fillId="0" borderId="14" applyNumberFormat="0" applyFill="0" applyAlignment="0" applyProtection="0"/>
    <xf numFmtId="0" fontId="84" fillId="0" borderId="15" applyNumberFormat="0" applyFill="0" applyAlignment="0" applyProtection="0"/>
    <xf numFmtId="226" fontId="85" fillId="34" borderId="0"/>
    <xf numFmtId="0" fontId="86" fillId="0" borderId="16" applyNumberFormat="0" applyFill="0" applyAlignment="0" applyProtection="0"/>
    <xf numFmtId="0" fontId="168" fillId="0" borderId="68" applyNumberFormat="0" applyFill="0" applyAlignment="0" applyProtection="0"/>
    <xf numFmtId="0" fontId="147" fillId="0" borderId="16" applyNumberFormat="0" applyFill="0" applyAlignment="0" applyProtection="0"/>
    <xf numFmtId="0" fontId="86" fillId="0" borderId="16" applyNumberFormat="0" applyFill="0" applyAlignment="0" applyProtection="0"/>
    <xf numFmtId="0" fontId="87" fillId="0" borderId="18" applyNumberFormat="0" applyFill="0" applyAlignment="0" applyProtection="0"/>
    <xf numFmtId="0" fontId="169" fillId="0" borderId="69" applyNumberFormat="0" applyFill="0" applyAlignment="0" applyProtection="0"/>
    <xf numFmtId="0" fontId="148" fillId="0" borderId="17" applyNumberFormat="0" applyFill="0" applyAlignment="0" applyProtection="0"/>
    <xf numFmtId="0" fontId="87" fillId="0" borderId="18" applyNumberFormat="0" applyFill="0" applyAlignment="0" applyProtection="0"/>
    <xf numFmtId="0" fontId="87" fillId="0" borderId="0" applyNumberFormat="0" applyFill="0" applyBorder="0" applyAlignment="0" applyProtection="0"/>
    <xf numFmtId="0" fontId="16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227" fontId="8" fillId="0" borderId="0">
      <protection locked="0"/>
    </xf>
    <xf numFmtId="227" fontId="8" fillId="0" borderId="0">
      <protection locked="0"/>
    </xf>
    <xf numFmtId="227" fontId="8" fillId="0" borderId="0">
      <protection locked="0"/>
    </xf>
    <xf numFmtId="227" fontId="8" fillId="0" borderId="0">
      <protection locked="0"/>
    </xf>
    <xf numFmtId="227" fontId="8" fillId="0" borderId="0">
      <protection locked="0"/>
    </xf>
    <xf numFmtId="227" fontId="8" fillId="0" borderId="0">
      <protection locked="0"/>
    </xf>
    <xf numFmtId="228" fontId="88" fillId="0" borderId="0"/>
    <xf numFmtId="0" fontId="39" fillId="0" borderId="19" applyNumberFormat="0" applyFill="0" applyAlignment="0" applyProtection="0"/>
    <xf numFmtId="0" fontId="89" fillId="0" borderId="0"/>
    <xf numFmtId="0" fontId="157" fillId="0" borderId="0" applyNumberFormat="0" applyFill="0" applyBorder="0" applyAlignment="0" applyProtection="0">
      <alignment vertical="top"/>
      <protection locked="0"/>
    </xf>
    <xf numFmtId="0" fontId="90" fillId="0" borderId="0" applyFill="0" applyBorder="0">
      <alignment horizontal="left" vertical="center"/>
      <protection locked="0"/>
    </xf>
    <xf numFmtId="0" fontId="91" fillId="0" borderId="0" applyFill="0" applyBorder="0" applyAlignment="0" applyProtection="0">
      <alignment horizontal="right"/>
    </xf>
    <xf numFmtId="3" fontId="11" fillId="35" borderId="0"/>
    <xf numFmtId="170" fontId="11" fillId="35" borderId="0"/>
    <xf numFmtId="15" fontId="11" fillId="35" borderId="0"/>
    <xf numFmtId="229" fontId="92" fillId="0" borderId="20"/>
    <xf numFmtId="230" fontId="92" fillId="0" borderId="20"/>
    <xf numFmtId="229" fontId="92" fillId="0" borderId="20"/>
    <xf numFmtId="15" fontId="92" fillId="0" borderId="20"/>
    <xf numFmtId="231" fontId="92" fillId="0" borderId="20"/>
    <xf numFmtId="15" fontId="38" fillId="36" borderId="21"/>
    <xf numFmtId="232" fontId="38" fillId="25" borderId="21"/>
    <xf numFmtId="10" fontId="4" fillId="37" borderId="3" applyNumberFormat="0" applyBorder="0" applyAlignment="0" applyProtection="0"/>
    <xf numFmtId="0" fontId="93" fillId="5" borderId="9" applyNumberFormat="0" applyAlignment="0" applyProtection="0"/>
    <xf numFmtId="0" fontId="170" fillId="61" borderId="65" applyNumberFormat="0" applyAlignment="0" applyProtection="0"/>
    <xf numFmtId="0" fontId="93" fillId="5" borderId="9" applyNumberFormat="0" applyAlignment="0" applyProtection="0"/>
    <xf numFmtId="0" fontId="158" fillId="61" borderId="65" applyNumberFormat="0" applyAlignment="0" applyProtection="0"/>
    <xf numFmtId="3" fontId="11" fillId="35" borderId="0"/>
    <xf numFmtId="165" fontId="11" fillId="35" borderId="0"/>
    <xf numFmtId="170" fontId="11" fillId="35" borderId="0"/>
    <xf numFmtId="4" fontId="11" fillId="35" borderId="0"/>
    <xf numFmtId="10" fontId="11" fillId="35" borderId="0"/>
    <xf numFmtId="0" fontId="39" fillId="29" borderId="11">
      <protection locked="0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38" fontId="94" fillId="0" borderId="0"/>
    <xf numFmtId="38" fontId="95" fillId="0" borderId="0"/>
    <xf numFmtId="38" fontId="96" fillId="0" borderId="0"/>
    <xf numFmtId="38" fontId="97" fillId="0" borderId="0"/>
    <xf numFmtId="0" fontId="98" fillId="0" borderId="0"/>
    <xf numFmtId="0" fontId="98" fillId="0" borderId="0"/>
    <xf numFmtId="0" fontId="9" fillId="0" borderId="0"/>
    <xf numFmtId="0" fontId="53" fillId="30" borderId="0" applyNumberFormat="0" applyFont="0" applyBorder="0" applyAlignment="0" applyProtection="0">
      <alignment horizontal="left"/>
    </xf>
    <xf numFmtId="0" fontId="99" fillId="0" borderId="22" applyNumberFormat="0" applyFill="0" applyAlignment="0" applyProtection="0"/>
    <xf numFmtId="0" fontId="171" fillId="0" borderId="70" applyNumberFormat="0" applyFill="0" applyAlignment="0" applyProtection="0"/>
    <xf numFmtId="0" fontId="99" fillId="0" borderId="22" applyNumberFormat="0" applyFill="0" applyAlignment="0" applyProtection="0"/>
    <xf numFmtId="165" fontId="57" fillId="38" borderId="0" applyNumberFormat="0" applyBorder="0" applyAlignment="0">
      <protection locked="0"/>
    </xf>
    <xf numFmtId="4" fontId="100" fillId="39" borderId="0">
      <alignment vertical="top"/>
      <protection locked="0"/>
    </xf>
    <xf numFmtId="233" fontId="8" fillId="0" borderId="0"/>
    <xf numFmtId="0" fontId="8" fillId="0" borderId="0" applyNumberFormat="0" applyFill="0" applyBorder="0" applyAlignment="0" applyProtection="0"/>
    <xf numFmtId="234" fontId="98" fillId="0" borderId="0" applyFont="0" applyFill="0" applyBorder="0" applyAlignment="0" applyProtection="0"/>
    <xf numFmtId="0" fontId="101" fillId="40" borderId="0">
      <alignment horizontal="right"/>
    </xf>
    <xf numFmtId="0" fontId="102" fillId="41" borderId="0"/>
    <xf numFmtId="9" fontId="103" fillId="0" borderId="23" applyNumberFormat="0" applyProtection="0">
      <alignment horizontal="right"/>
    </xf>
    <xf numFmtId="235" fontId="8" fillId="0" borderId="0" applyFont="0" applyFill="0" applyBorder="0" applyAlignment="0" applyProtection="0"/>
    <xf numFmtId="236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0" fontId="104" fillId="7" borderId="0" applyNumberFormat="0" applyBorder="0" applyAlignment="0" applyProtection="0"/>
    <xf numFmtId="0" fontId="172" fillId="90" borderId="0" applyNumberFormat="0" applyBorder="0" applyAlignment="0" applyProtection="0"/>
    <xf numFmtId="0" fontId="104" fillId="7" borderId="0" applyNumberFormat="0" applyBorder="0" applyAlignment="0" applyProtection="0"/>
    <xf numFmtId="0" fontId="104" fillId="7" borderId="0" applyNumberFormat="0" applyBorder="0" applyAlignment="0" applyProtection="0"/>
    <xf numFmtId="0" fontId="9" fillId="0" borderId="0"/>
    <xf numFmtId="0" fontId="8" fillId="0" borderId="0"/>
    <xf numFmtId="237" fontId="9" fillId="0" borderId="13"/>
    <xf numFmtId="238" fontId="105" fillId="0" borderId="0"/>
    <xf numFmtId="37" fontId="106" fillId="0" borderId="0"/>
    <xf numFmtId="37" fontId="106" fillId="0" borderId="0"/>
    <xf numFmtId="37" fontId="106" fillId="0" borderId="0"/>
    <xf numFmtId="38" fontId="107" fillId="0" borderId="0" applyBorder="0"/>
    <xf numFmtId="0" fontId="8" fillId="0" borderId="0"/>
    <xf numFmtId="0" fontId="154" fillId="0" borderId="0"/>
    <xf numFmtId="38" fontId="88" fillId="0" borderId="0">
      <protection locked="0"/>
    </xf>
    <xf numFmtId="239" fontId="8" fillId="0" borderId="0"/>
    <xf numFmtId="239" fontId="8" fillId="0" borderId="0"/>
    <xf numFmtId="239" fontId="8" fillId="0" borderId="0"/>
    <xf numFmtId="171" fontId="8" fillId="0" borderId="0">
      <alignment horizontal="left" wrapText="1"/>
    </xf>
    <xf numFmtId="0" fontId="155" fillId="0" borderId="0"/>
    <xf numFmtId="171" fontId="8" fillId="0" borderId="0">
      <alignment horizontal="left" wrapText="1"/>
    </xf>
    <xf numFmtId="0" fontId="8" fillId="0" borderId="0"/>
    <xf numFmtId="0" fontId="8" fillId="0" borderId="0"/>
    <xf numFmtId="0" fontId="155" fillId="0" borderId="0"/>
    <xf numFmtId="0" fontId="155" fillId="0" borderId="0"/>
    <xf numFmtId="0" fontId="156" fillId="0" borderId="0"/>
    <xf numFmtId="0" fontId="155" fillId="0" borderId="0"/>
    <xf numFmtId="0" fontId="155" fillId="0" borderId="0"/>
    <xf numFmtId="0" fontId="155" fillId="0" borderId="0"/>
    <xf numFmtId="0" fontId="155" fillId="0" borderId="0"/>
    <xf numFmtId="0" fontId="8" fillId="0" borderId="0"/>
    <xf numFmtId="0" fontId="8" fillId="0" borderId="0"/>
    <xf numFmtId="240" fontId="159" fillId="0" borderId="0"/>
    <xf numFmtId="0" fontId="8" fillId="0" borderId="0"/>
    <xf numFmtId="0" fontId="155" fillId="0" borderId="0"/>
    <xf numFmtId="0" fontId="108" fillId="0" borderId="0"/>
    <xf numFmtId="0" fontId="8" fillId="0" borderId="0"/>
    <xf numFmtId="0" fontId="52" fillId="0" borderId="0"/>
    <xf numFmtId="0" fontId="8" fillId="0" borderId="0"/>
    <xf numFmtId="0" fontId="8" fillId="0" borderId="0"/>
    <xf numFmtId="240" fontId="159" fillId="0" borderId="0"/>
    <xf numFmtId="171" fontId="8" fillId="0" borderId="0">
      <alignment horizontal="left" wrapText="1"/>
    </xf>
    <xf numFmtId="0" fontId="8" fillId="0" borderId="0"/>
    <xf numFmtId="171" fontId="8" fillId="0" borderId="0">
      <alignment horizontal="left" wrapText="1"/>
    </xf>
    <xf numFmtId="0" fontId="155" fillId="0" borderId="0"/>
    <xf numFmtId="0" fontId="155" fillId="0" borderId="0"/>
    <xf numFmtId="0" fontId="155" fillId="0" borderId="0"/>
    <xf numFmtId="0" fontId="4" fillId="0" borderId="0"/>
    <xf numFmtId="0" fontId="152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8" fillId="0" borderId="0"/>
    <xf numFmtId="0" fontId="155" fillId="0" borderId="0"/>
    <xf numFmtId="0" fontId="8" fillId="0" borderId="0"/>
    <xf numFmtId="41" fontId="8" fillId="0" borderId="0"/>
    <xf numFmtId="0" fontId="109" fillId="0" borderId="0"/>
    <xf numFmtId="0" fontId="52" fillId="0" borderId="0"/>
    <xf numFmtId="0" fontId="155" fillId="0" borderId="0"/>
    <xf numFmtId="0" fontId="155" fillId="0" borderId="0"/>
    <xf numFmtId="0" fontId="8" fillId="0" borderId="0"/>
    <xf numFmtId="0" fontId="52" fillId="0" borderId="0"/>
    <xf numFmtId="0" fontId="159" fillId="0" borderId="0"/>
    <xf numFmtId="0" fontId="155" fillId="0" borderId="0"/>
    <xf numFmtId="0" fontId="155" fillId="0" borderId="0"/>
    <xf numFmtId="0" fontId="52" fillId="0" borderId="0"/>
    <xf numFmtId="0" fontId="155" fillId="0" borderId="0"/>
    <xf numFmtId="0" fontId="1" fillId="0" borderId="0"/>
    <xf numFmtId="240" fontId="8" fillId="0" borderId="0"/>
    <xf numFmtId="0" fontId="8" fillId="0" borderId="0"/>
    <xf numFmtId="240" fontId="8" fillId="0" borderId="0"/>
    <xf numFmtId="171" fontId="8" fillId="0" borderId="0">
      <alignment horizontal="left" wrapText="1"/>
    </xf>
    <xf numFmtId="0" fontId="8" fillId="0" borderId="0"/>
    <xf numFmtId="0" fontId="151" fillId="0" borderId="0"/>
    <xf numFmtId="0" fontId="8" fillId="0" borderId="0"/>
    <xf numFmtId="0" fontId="151" fillId="0" borderId="0"/>
    <xf numFmtId="0" fontId="8" fillId="0" borderId="0"/>
    <xf numFmtId="0" fontId="155" fillId="0" borderId="0"/>
    <xf numFmtId="0" fontId="156" fillId="0" borderId="0"/>
    <xf numFmtId="0" fontId="156" fillId="0" borderId="0"/>
    <xf numFmtId="0" fontId="156" fillId="0" borderId="0"/>
    <xf numFmtId="0" fontId="39" fillId="0" borderId="0" applyFill="0" applyBorder="0">
      <protection locked="0"/>
    </xf>
    <xf numFmtId="0" fontId="53" fillId="42" borderId="0" applyBorder="0" applyAlignment="0">
      <alignment horizontal="left"/>
    </xf>
    <xf numFmtId="0" fontId="53" fillId="42" borderId="0" applyBorder="0" applyAlignment="0">
      <alignment horizontal="left"/>
    </xf>
    <xf numFmtId="0" fontId="8" fillId="7" borderId="24" applyNumberFormat="0" applyFont="0" applyAlignment="0" applyProtection="0"/>
    <xf numFmtId="0" fontId="155" fillId="91" borderId="71" applyNumberFormat="0" applyFont="0" applyAlignment="0" applyProtection="0"/>
    <xf numFmtId="0" fontId="52" fillId="43" borderId="24" applyNumberFormat="0" applyFont="0" applyAlignment="0" applyProtection="0"/>
    <xf numFmtId="0" fontId="8" fillId="7" borderId="24" applyNumberFormat="0" applyFont="0" applyAlignment="0" applyProtection="0"/>
    <xf numFmtId="0" fontId="8" fillId="0" borderId="0" applyFont="0" applyFill="0" applyBorder="0" applyAlignment="0" applyProtection="0"/>
    <xf numFmtId="15" fontId="8" fillId="0" borderId="0"/>
    <xf numFmtId="0" fontId="110" fillId="3" borderId="25" applyNumberFormat="0" applyAlignment="0" applyProtection="0"/>
    <xf numFmtId="0" fontId="173" fillId="87" borderId="72" applyNumberFormat="0" applyAlignment="0" applyProtection="0"/>
    <xf numFmtId="0" fontId="110" fillId="11" borderId="25" applyNumberFormat="0" applyAlignment="0" applyProtection="0"/>
    <xf numFmtId="0" fontId="110" fillId="3" borderId="25" applyNumberFormat="0" applyAlignment="0" applyProtection="0"/>
    <xf numFmtId="237" fontId="3" fillId="44" borderId="0">
      <alignment horizontal="right"/>
    </xf>
    <xf numFmtId="0" fontId="111" fillId="45" borderId="0">
      <alignment horizontal="center"/>
    </xf>
    <xf numFmtId="0" fontId="14" fillId="46" borderId="0"/>
    <xf numFmtId="0" fontId="112" fillId="44" borderId="0" applyBorder="0">
      <alignment horizontal="centerContinuous"/>
    </xf>
    <xf numFmtId="0" fontId="113" fillId="46" borderId="0" applyBorder="0">
      <alignment horizontal="centerContinuous"/>
    </xf>
    <xf numFmtId="38" fontId="8" fillId="0" borderId="0"/>
    <xf numFmtId="225" fontId="8" fillId="0" borderId="0"/>
    <xf numFmtId="10" fontId="8" fillId="0" borderId="0"/>
    <xf numFmtId="241" fontId="8" fillId="0" borderId="0"/>
    <xf numFmtId="242" fontId="8" fillId="0" borderId="0"/>
    <xf numFmtId="220" fontId="8" fillId="0" borderId="0"/>
    <xf numFmtId="0" fontId="8" fillId="0" borderId="0" applyNumberFormat="0" applyFont="0" applyBorder="0" applyAlignment="0"/>
    <xf numFmtId="0" fontId="8" fillId="47" borderId="0" applyNumberFormat="0" applyFont="0" applyBorder="0" applyAlignment="0" applyProtection="0">
      <protection hidden="1"/>
    </xf>
    <xf numFmtId="0" fontId="65" fillId="0" borderId="26" applyNumberFormat="0" applyAlignment="0" applyProtection="0"/>
    <xf numFmtId="0" fontId="33" fillId="48" borderId="0" applyNumberFormat="0" applyFont="0" applyBorder="0" applyAlignment="0" applyProtection="0"/>
    <xf numFmtId="0" fontId="4" fillId="29" borderId="27" applyNumberFormat="0" applyFont="0" applyBorder="0" applyAlignment="0" applyProtection="0">
      <alignment horizontal="center"/>
    </xf>
    <xf numFmtId="0" fontId="4" fillId="24" borderId="27" applyNumberFormat="0" applyFont="0" applyBorder="0" applyAlignment="0" applyProtection="0">
      <alignment horizontal="center"/>
    </xf>
    <xf numFmtId="0" fontId="33" fillId="0" borderId="28" applyNumberFormat="0" applyAlignment="0" applyProtection="0"/>
    <xf numFmtId="0" fontId="33" fillId="0" borderId="29" applyNumberFormat="0" applyAlignment="0" applyProtection="0"/>
    <xf numFmtId="0" fontId="65" fillId="0" borderId="30" applyNumberFormat="0" applyAlignment="0" applyProtection="0"/>
    <xf numFmtId="9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231" fontId="39" fillId="0" borderId="0" applyFill="0" applyBorder="0">
      <protection locked="0"/>
    </xf>
    <xf numFmtId="10" fontId="8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15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14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15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15" fillId="0" borderId="0" applyNumberFormat="0" applyFill="0" applyBorder="0" applyProtection="0">
      <alignment horizontal="right"/>
    </xf>
    <xf numFmtId="4" fontId="79" fillId="0" borderId="0">
      <alignment horizontal="right"/>
    </xf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116" fillId="0" borderId="31">
      <alignment horizontal="center"/>
    </xf>
    <xf numFmtId="3" fontId="27" fillId="0" borderId="0" applyFont="0" applyFill="0" applyBorder="0" applyAlignment="0" applyProtection="0"/>
    <xf numFmtId="0" fontId="27" fillId="49" borderId="0" applyNumberFormat="0" applyFont="0" applyBorder="0" applyAlignment="0" applyProtection="0"/>
    <xf numFmtId="4" fontId="8" fillId="31" borderId="0" applyFill="0"/>
    <xf numFmtId="0" fontId="117" fillId="0" borderId="0">
      <alignment horizontal="left" indent="7"/>
    </xf>
    <xf numFmtId="0" fontId="8" fillId="0" borderId="0" applyFill="0">
      <alignment horizontal="left" indent="1"/>
    </xf>
    <xf numFmtId="169" fontId="118" fillId="0" borderId="4" applyFill="0">
      <alignment horizontal="right"/>
    </xf>
    <xf numFmtId="0" fontId="9" fillId="0" borderId="3" applyNumberFormat="0" applyFont="0" applyBorder="0">
      <alignment horizontal="right"/>
    </xf>
    <xf numFmtId="0" fontId="119" fillId="0" borderId="0" applyFill="0"/>
    <xf numFmtId="0" fontId="48" fillId="0" borderId="0" applyFill="0"/>
    <xf numFmtId="4" fontId="118" fillId="0" borderId="4" applyFill="0"/>
    <xf numFmtId="0" fontId="8" fillId="0" borderId="0" applyNumberFormat="0" applyFont="0" applyBorder="0" applyAlignment="0"/>
    <xf numFmtId="0" fontId="50" fillId="0" borderId="0" applyFill="0">
      <alignment horizontal="left"/>
    </xf>
    <xf numFmtId="0" fontId="120" fillId="0" borderId="0" applyFill="0">
      <alignment horizontal="left"/>
    </xf>
    <xf numFmtId="4" fontId="53" fillId="0" borderId="0" applyFill="0"/>
    <xf numFmtId="0" fontId="8" fillId="0" borderId="0" applyNumberFormat="0" applyFont="0" applyFill="0" applyBorder="0" applyAlignment="0"/>
    <xf numFmtId="0" fontId="50" fillId="0" borderId="0" applyFill="0">
      <alignment horizontal="left"/>
    </xf>
    <xf numFmtId="0" fontId="48" fillId="0" borderId="0" applyFill="0">
      <alignment horizontal="left"/>
    </xf>
    <xf numFmtId="4" fontId="53" fillId="0" borderId="0" applyFill="0"/>
    <xf numFmtId="0" fontId="8" fillId="0" borderId="0" applyNumberFormat="0" applyFont="0" applyBorder="0" applyAlignment="0"/>
    <xf numFmtId="0" fontId="121" fillId="0" borderId="0">
      <alignment horizontal="left"/>
    </xf>
    <xf numFmtId="0" fontId="6" fillId="0" borderId="0" applyFill="0">
      <alignment horizontal="left"/>
    </xf>
    <xf numFmtId="237" fontId="53" fillId="0" borderId="0" applyFill="0"/>
    <xf numFmtId="0" fontId="8" fillId="0" borderId="0" applyNumberFormat="0" applyFont="0" applyBorder="0" applyAlignment="0"/>
    <xf numFmtId="0" fontId="54" fillId="0" borderId="0">
      <alignment horizontal="left"/>
    </xf>
    <xf numFmtId="0" fontId="8" fillId="0" borderId="0" applyFill="0">
      <alignment horizontal="left"/>
    </xf>
    <xf numFmtId="4" fontId="55" fillId="0" borderId="0" applyFill="0"/>
    <xf numFmtId="0" fontId="8" fillId="0" borderId="0" applyNumberFormat="0" applyFont="0" applyBorder="0" applyAlignment="0"/>
    <xf numFmtId="0" fontId="56" fillId="0" borderId="0">
      <alignment horizontal="left"/>
    </xf>
    <xf numFmtId="0" fontId="57" fillId="0" borderId="0" applyFill="0">
      <alignment horizontal="left"/>
    </xf>
    <xf numFmtId="4" fontId="58" fillId="0" borderId="0" applyFill="0"/>
    <xf numFmtId="0" fontId="8" fillId="0" borderId="0" applyNumberFormat="0" applyFont="0" applyFill="0" applyBorder="0" applyAlignment="0"/>
    <xf numFmtId="0" fontId="59" fillId="0" borderId="0" applyFill="0">
      <alignment horizontal="left"/>
    </xf>
    <xf numFmtId="0" fontId="55" fillId="0" borderId="0" applyFill="0">
      <alignment horizontal="left"/>
    </xf>
    <xf numFmtId="0" fontId="8" fillId="0" borderId="0">
      <alignment horizontal="right"/>
    </xf>
    <xf numFmtId="2" fontId="53" fillId="24" borderId="3">
      <alignment horizontal="center"/>
    </xf>
    <xf numFmtId="165" fontId="8" fillId="50" borderId="3">
      <alignment horizontal="center" vertical="center"/>
    </xf>
    <xf numFmtId="4" fontId="122" fillId="0" borderId="0">
      <alignment horizontal="right"/>
    </xf>
    <xf numFmtId="243" fontId="9" fillId="0" borderId="0">
      <alignment horizontal="right"/>
    </xf>
    <xf numFmtId="0" fontId="123" fillId="0" borderId="32" applyNumberFormat="0" applyAlignment="0"/>
    <xf numFmtId="244" fontId="39" fillId="0" borderId="3">
      <alignment horizontal="right"/>
    </xf>
    <xf numFmtId="0" fontId="124" fillId="0" borderId="0"/>
    <xf numFmtId="0" fontId="125" fillId="0" borderId="0">
      <alignment horizontal="left"/>
    </xf>
    <xf numFmtId="3" fontId="126" fillId="51" borderId="0">
      <alignment vertical="center"/>
      <protection locked="0"/>
    </xf>
    <xf numFmtId="3" fontId="8" fillId="0" borderId="0"/>
    <xf numFmtId="0" fontId="127" fillId="0" borderId="0">
      <alignment horizontal="right"/>
    </xf>
    <xf numFmtId="166" fontId="8" fillId="0" borderId="0">
      <alignment horizontal="left" wrapText="1"/>
    </xf>
    <xf numFmtId="171" fontId="8" fillId="0" borderId="0">
      <alignment horizontal="left" wrapText="1"/>
    </xf>
    <xf numFmtId="0" fontId="7" fillId="0" borderId="0" applyNumberFormat="0" applyFill="0" applyBorder="0" applyAlignment="0" applyProtection="0"/>
    <xf numFmtId="0" fontId="9" fillId="52" borderId="0" applyNumberFormat="0" applyBorder="0" applyProtection="0">
      <alignment wrapText="1"/>
    </xf>
    <xf numFmtId="0" fontId="9" fillId="0" borderId="0" applyNumberFormat="0" applyFill="0" applyBorder="0" applyProtection="0">
      <alignment wrapText="1"/>
    </xf>
    <xf numFmtId="0" fontId="4" fillId="0" borderId="0" applyNumberFormat="0" applyFill="0" applyBorder="0" applyProtection="0">
      <alignment vertical="top" wrapText="1"/>
    </xf>
    <xf numFmtId="0" fontId="10" fillId="0" borderId="0" applyNumberFormat="0" applyFill="0" applyBorder="0" applyAlignment="0" applyProtection="0"/>
    <xf numFmtId="0" fontId="8" fillId="0" borderId="33" applyNumberFormat="0" applyFont="0" applyFill="0" applyAlignment="0" applyProtection="0"/>
    <xf numFmtId="0" fontId="8" fillId="0" borderId="34" applyNumberFormat="0" applyFont="0" applyFill="0" applyAlignment="0" applyProtection="0"/>
    <xf numFmtId="0" fontId="8" fillId="0" borderId="35" applyNumberFormat="0" applyFont="0" applyFill="0" applyAlignment="0" applyProtection="0"/>
    <xf numFmtId="0" fontId="11" fillId="53" borderId="36" applyNumberFormat="0" applyAlignment="0" applyProtection="0"/>
    <xf numFmtId="0" fontId="11" fillId="54" borderId="37" applyNumberFormat="0" applyAlignment="0" applyProtection="0"/>
    <xf numFmtId="0" fontId="8" fillId="55" borderId="38" applyNumberFormat="0" applyFont="0" applyAlignment="0" applyProtection="0"/>
    <xf numFmtId="0" fontId="8" fillId="56" borderId="39" applyNumberFormat="0" applyFont="0" applyAlignment="0" applyProtection="0"/>
    <xf numFmtId="0" fontId="8" fillId="57" borderId="40" applyNumberFormat="0" applyFont="0" applyAlignment="0" applyProtection="0"/>
    <xf numFmtId="0" fontId="8" fillId="58" borderId="41" applyNumberFormat="0" applyFont="0" applyAlignment="0" applyProtection="0"/>
    <xf numFmtId="0" fontId="8" fillId="41" borderId="0" applyNumberFormat="0" applyFont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42" applyNumberFormat="0" applyFill="0" applyAlignment="0" applyProtection="0"/>
    <xf numFmtId="0" fontId="14" fillId="51" borderId="0" applyNumberFormat="0" applyBorder="0" applyAlignment="0" applyProtection="0"/>
    <xf numFmtId="0" fontId="128" fillId="0" borderId="0"/>
    <xf numFmtId="0" fontId="50" fillId="0" borderId="0"/>
    <xf numFmtId="0" fontId="129" fillId="0" borderId="0"/>
    <xf numFmtId="198" fontId="130" fillId="0" borderId="0"/>
    <xf numFmtId="41" fontId="38" fillId="25" borderId="0">
      <alignment horizontal="center"/>
      <protection locked="0"/>
    </xf>
    <xf numFmtId="0" fontId="34" fillId="0" borderId="0"/>
    <xf numFmtId="0" fontId="131" fillId="0" borderId="0" applyFill="0" applyBorder="0">
      <alignment horizontal="center"/>
    </xf>
    <xf numFmtId="0" fontId="62" fillId="0" borderId="0" applyNumberFormat="0" applyFill="0" applyBorder="0">
      <alignment horizontal="left" wrapText="1"/>
    </xf>
    <xf numFmtId="0" fontId="132" fillId="0" borderId="0" applyNumberFormat="0" applyFill="0" applyBorder="0">
      <alignment horizontal="center" wrapText="1"/>
    </xf>
    <xf numFmtId="0" fontId="132" fillId="0" borderId="0" applyNumberFormat="0" applyFill="0" applyBorder="0">
      <alignment horizontal="left" wrapText="1"/>
    </xf>
    <xf numFmtId="0" fontId="132" fillId="0" borderId="0" applyNumberFormat="0" applyFill="0" applyBorder="0">
      <alignment horizontal="right" wrapText="1"/>
    </xf>
    <xf numFmtId="0" fontId="62" fillId="0" borderId="0" applyNumberFormat="0" applyFill="0" applyBorder="0">
      <alignment horizontal="right" wrapText="1"/>
    </xf>
    <xf numFmtId="0" fontId="62" fillId="0" borderId="0" applyNumberFormat="0" applyFill="0" applyBorder="0">
      <alignment horizontal="left" wrapText="1"/>
    </xf>
    <xf numFmtId="0" fontId="62" fillId="0" borderId="0" applyNumberFormat="0" applyFill="0" applyBorder="0">
      <alignment horizontal="right" wrapText="1"/>
    </xf>
    <xf numFmtId="0" fontId="132" fillId="0" borderId="0" applyNumberFormat="0" applyFill="0" applyBorder="0">
      <alignment horizontal="center" wrapText="1"/>
    </xf>
    <xf numFmtId="0" fontId="133" fillId="0" borderId="0" applyNumberFormat="0" applyFill="0" applyBorder="0">
      <alignment horizontal="left" wrapText="1"/>
    </xf>
    <xf numFmtId="0" fontId="62" fillId="0" borderId="0" applyNumberFormat="0" applyFill="0" applyBorder="0">
      <alignment horizontal="left" wrapText="1"/>
    </xf>
    <xf numFmtId="0" fontId="62" fillId="0" borderId="0" applyNumberFormat="0" applyFill="0" applyBorder="0">
      <alignment horizontal="left" wrapText="1"/>
    </xf>
    <xf numFmtId="0" fontId="62" fillId="0" borderId="0" applyNumberFormat="0" applyFill="0" applyBorder="0">
      <alignment horizontal="right" wrapText="1"/>
    </xf>
    <xf numFmtId="0" fontId="132" fillId="0" borderId="0" applyNumberFormat="0" applyFill="0" applyBorder="0">
      <alignment horizontal="left" wrapText="1"/>
    </xf>
    <xf numFmtId="0" fontId="133" fillId="0" borderId="0" applyNumberFormat="0" applyFill="0" applyBorder="0">
      <alignment horizontal="left" wrapText="1"/>
    </xf>
    <xf numFmtId="0" fontId="134" fillId="59" borderId="0" applyNumberFormat="0" applyBorder="0" applyAlignment="0" applyProtection="0">
      <protection locked="0"/>
    </xf>
    <xf numFmtId="245" fontId="135" fillId="0" borderId="0"/>
    <xf numFmtId="245" fontId="74" fillId="0" borderId="0" applyFont="0" applyFill="0" applyBorder="0" applyProtection="0"/>
    <xf numFmtId="221" fontId="107" fillId="0" borderId="0" applyFill="0" applyBorder="0"/>
    <xf numFmtId="0" fontId="2" fillId="41" borderId="3">
      <alignment horizontal="center"/>
    </xf>
    <xf numFmtId="0" fontId="160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33" borderId="0"/>
    <xf numFmtId="246" fontId="36" fillId="0" borderId="0"/>
    <xf numFmtId="191" fontId="138" fillId="0" borderId="0"/>
    <xf numFmtId="246" fontId="138" fillId="0" borderId="0"/>
    <xf numFmtId="189" fontId="9" fillId="0" borderId="13" applyFill="0"/>
    <xf numFmtId="227" fontId="8" fillId="0" borderId="44">
      <protection locked="0"/>
    </xf>
    <xf numFmtId="0" fontId="174" fillId="0" borderId="73" applyNumberFormat="0" applyFill="0" applyAlignment="0" applyProtection="0"/>
    <xf numFmtId="0" fontId="150" fillId="0" borderId="43" applyNumberFormat="0" applyFill="0" applyAlignment="0" applyProtection="0"/>
    <xf numFmtId="227" fontId="8" fillId="0" borderId="44">
      <protection locked="0"/>
    </xf>
    <xf numFmtId="189" fontId="8" fillId="0" borderId="8" applyFill="0"/>
    <xf numFmtId="194" fontId="139" fillId="0" borderId="0"/>
    <xf numFmtId="194" fontId="8" fillId="0" borderId="0" applyFont="0" applyFill="0" applyBorder="0" applyAlignment="0" applyProtection="0"/>
    <xf numFmtId="234" fontId="8" fillId="0" borderId="0" applyFont="0" applyFill="0" applyBorder="0" applyAlignment="0" applyProtection="0"/>
    <xf numFmtId="244" fontId="39" fillId="48" borderId="3">
      <alignment horizontal="right"/>
    </xf>
    <xf numFmtId="0" fontId="140" fillId="0" borderId="0">
      <alignment horizontal="center"/>
    </xf>
    <xf numFmtId="37" fontId="4" fillId="25" borderId="0" applyNumberFormat="0" applyBorder="0" applyAlignment="0" applyProtection="0"/>
    <xf numFmtId="37" fontId="4" fillId="0" borderId="0"/>
    <xf numFmtId="37" fontId="4" fillId="0" borderId="0"/>
    <xf numFmtId="37" fontId="4" fillId="0" borderId="0"/>
    <xf numFmtId="37" fontId="4" fillId="25" borderId="0" applyNumberFormat="0" applyBorder="0" applyAlignment="0" applyProtection="0"/>
    <xf numFmtId="3" fontId="141" fillId="0" borderId="19" applyProtection="0"/>
    <xf numFmtId="0" fontId="34" fillId="0" borderId="0"/>
    <xf numFmtId="244" fontId="39" fillId="0" borderId="3">
      <alignment horizontal="right"/>
    </xf>
    <xf numFmtId="247" fontId="39" fillId="60" borderId="0" applyBorder="0"/>
    <xf numFmtId="248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76" fillId="0" borderId="0" applyNumberFormat="0" applyFill="0" applyBorder="0"/>
    <xf numFmtId="0" fontId="142" fillId="0" borderId="0" applyNumberFormat="0" applyFill="0" applyBorder="0" applyAlignment="0" applyProtection="0"/>
    <xf numFmtId="0" fontId="175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249" fontId="32" fillId="0" borderId="0"/>
    <xf numFmtId="250" fontId="8" fillId="0" borderId="0" applyFont="0" applyFill="0" applyBorder="0" applyAlignment="0" applyProtection="0"/>
    <xf numFmtId="251" fontId="88" fillId="0" borderId="0" applyFont="0" applyFill="0" applyBorder="0" applyAlignment="0" applyProtection="0"/>
    <xf numFmtId="0" fontId="143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114" fillId="0" borderId="0">
      <alignment vertical="center"/>
    </xf>
    <xf numFmtId="0" fontId="144" fillId="0" borderId="0" applyNumberFormat="0" applyFill="0" applyBorder="0" applyAlignment="0" applyProtection="0">
      <alignment vertical="top"/>
      <protection locked="0"/>
    </xf>
    <xf numFmtId="252" fontId="145" fillId="0" borderId="3">
      <alignment horizontal="right"/>
    </xf>
    <xf numFmtId="44" fontId="8" fillId="0" borderId="0" applyFont="0" applyFill="0" applyBorder="0" applyAlignment="0" applyProtection="0"/>
  </cellStyleXfs>
  <cellXfs count="607"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0" fillId="0" borderId="8" xfId="0" applyBorder="1"/>
    <xf numFmtId="0" fontId="0" fillId="0" borderId="0" xfId="0"/>
    <xf numFmtId="0" fontId="174" fillId="0" borderId="0" xfId="0" applyFont="1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31" xfId="0" applyBorder="1"/>
    <xf numFmtId="0" fontId="0" fillId="0" borderId="49" xfId="0" applyBorder="1"/>
    <xf numFmtId="0" fontId="176" fillId="0" borderId="0" xfId="0" applyFont="1"/>
    <xf numFmtId="0" fontId="177" fillId="0" borderId="50" xfId="0" applyFont="1" applyBorder="1"/>
    <xf numFmtId="0" fontId="0" fillId="0" borderId="51" xfId="0" applyBorder="1"/>
    <xf numFmtId="256" fontId="0" fillId="0" borderId="0" xfId="0" applyNumberFormat="1" applyBorder="1"/>
    <xf numFmtId="166" fontId="0" fillId="0" borderId="52" xfId="0" applyNumberFormat="1" applyBorder="1"/>
    <xf numFmtId="44" fontId="0" fillId="0" borderId="8" xfId="0" applyNumberFormat="1" applyBorder="1"/>
    <xf numFmtId="164" fontId="155" fillId="0" borderId="53" xfId="567" applyNumberFormat="1" applyFont="1" applyBorder="1"/>
    <xf numFmtId="0" fontId="174" fillId="0" borderId="8" xfId="0" applyFont="1" applyBorder="1"/>
    <xf numFmtId="0" fontId="174" fillId="0" borderId="0" xfId="0" applyFont="1" applyFill="1" applyBorder="1"/>
    <xf numFmtId="0" fontId="0" fillId="0" borderId="54" xfId="0" applyBorder="1"/>
    <xf numFmtId="0" fontId="0" fillId="0" borderId="4" xfId="0" applyBorder="1"/>
    <xf numFmtId="164" fontId="0" fillId="0" borderId="55" xfId="0" applyNumberFormat="1" applyBorder="1"/>
    <xf numFmtId="17" fontId="174" fillId="0" borderId="47" xfId="0" applyNumberFormat="1" applyFont="1" applyBorder="1"/>
    <xf numFmtId="166" fontId="155" fillId="0" borderId="0" xfId="533" applyNumberFormat="1" applyFont="1" applyBorder="1"/>
    <xf numFmtId="44" fontId="155" fillId="0" borderId="0" xfId="567" applyFont="1" applyBorder="1"/>
    <xf numFmtId="17" fontId="174" fillId="0" borderId="0" xfId="0" applyNumberFormat="1" applyFont="1" applyBorder="1"/>
    <xf numFmtId="164" fontId="174" fillId="0" borderId="0" xfId="567" applyNumberFormat="1" applyFont="1" applyBorder="1"/>
    <xf numFmtId="0" fontId="178" fillId="0" borderId="0" xfId="0" applyFont="1" applyBorder="1" applyAlignment="1">
      <alignment horizontal="right"/>
    </xf>
    <xf numFmtId="0" fontId="179" fillId="0" borderId="0" xfId="0" applyFont="1" applyBorder="1"/>
    <xf numFmtId="0" fontId="180" fillId="0" borderId="0" xfId="0" applyFont="1" applyBorder="1"/>
    <xf numFmtId="257" fontId="179" fillId="0" borderId="0" xfId="0" applyNumberFormat="1" applyFont="1" applyBorder="1"/>
    <xf numFmtId="17" fontId="179" fillId="0" borderId="47" xfId="0" applyNumberFormat="1" applyFont="1" applyBorder="1" applyAlignment="1">
      <alignment horizontal="right"/>
    </xf>
    <xf numFmtId="166" fontId="155" fillId="0" borderId="8" xfId="533" applyNumberFormat="1" applyFont="1" applyBorder="1"/>
    <xf numFmtId="44" fontId="155" fillId="0" borderId="8" xfId="567" applyFont="1" applyBorder="1"/>
    <xf numFmtId="17" fontId="179" fillId="0" borderId="0" xfId="0" applyNumberFormat="1" applyFont="1" applyBorder="1" applyAlignment="1">
      <alignment horizontal="right"/>
    </xf>
    <xf numFmtId="43" fontId="0" fillId="0" borderId="54" xfId="0" applyNumberFormat="1" applyBorder="1"/>
    <xf numFmtId="164" fontId="174" fillId="0" borderId="0" xfId="0" applyNumberFormat="1" applyFont="1" applyBorder="1"/>
    <xf numFmtId="256" fontId="0" fillId="0" borderId="0" xfId="0" applyNumberFormat="1"/>
    <xf numFmtId="256" fontId="0" fillId="0" borderId="45" xfId="0" applyNumberFormat="1" applyBorder="1"/>
    <xf numFmtId="44" fontId="155" fillId="0" borderId="45" xfId="567" applyFont="1" applyBorder="1"/>
    <xf numFmtId="166" fontId="181" fillId="0" borderId="0" xfId="533" applyNumberFormat="1" applyFont="1" applyBorder="1"/>
    <xf numFmtId="44" fontId="181" fillId="0" borderId="0" xfId="567" applyFont="1" applyBorder="1"/>
    <xf numFmtId="166" fontId="182" fillId="0" borderId="0" xfId="533" applyNumberFormat="1" applyFont="1" applyBorder="1"/>
    <xf numFmtId="44" fontId="182" fillId="0" borderId="0" xfId="567" applyFont="1" applyBorder="1"/>
    <xf numFmtId="166" fontId="183" fillId="0" borderId="0" xfId="533" applyNumberFormat="1" applyFont="1" applyBorder="1"/>
    <xf numFmtId="166" fontId="155" fillId="0" borderId="0" xfId="533" applyNumberFormat="1" applyFont="1" applyBorder="1"/>
    <xf numFmtId="44" fontId="155" fillId="0" borderId="0" xfId="567" applyFont="1" applyBorder="1"/>
    <xf numFmtId="0" fontId="178" fillId="0" borderId="0" xfId="0" applyFont="1" applyBorder="1" applyAlignment="1">
      <alignment horizontal="right"/>
    </xf>
    <xf numFmtId="0" fontId="184" fillId="92" borderId="0" xfId="0" applyFont="1" applyFill="1" applyAlignment="1"/>
    <xf numFmtId="0" fontId="185" fillId="93" borderId="0" xfId="0" applyFont="1" applyFill="1" applyAlignment="1"/>
    <xf numFmtId="0" fontId="186" fillId="94" borderId="47" xfId="0" applyFont="1" applyFill="1" applyBorder="1" applyAlignment="1">
      <alignment horizontal="left"/>
    </xf>
    <xf numFmtId="0" fontId="0" fillId="94" borderId="47" xfId="0" applyFont="1" applyFill="1" applyBorder="1" applyAlignment="1">
      <alignment horizontal="left" indent="2"/>
    </xf>
    <xf numFmtId="0" fontId="187" fillId="0" borderId="4" xfId="0" applyFont="1" applyBorder="1"/>
    <xf numFmtId="14" fontId="174" fillId="0" borderId="4" xfId="0" applyNumberFormat="1" applyFont="1" applyBorder="1"/>
    <xf numFmtId="258" fontId="174" fillId="0" borderId="4" xfId="0" applyNumberFormat="1" applyFont="1" applyBorder="1"/>
    <xf numFmtId="0" fontId="0" fillId="94" borderId="47" xfId="0" applyFill="1" applyBorder="1" applyAlignment="1">
      <alignment horizontal="left" indent="2"/>
    </xf>
    <xf numFmtId="9" fontId="188" fillId="0" borderId="0" xfId="834" applyFont="1"/>
    <xf numFmtId="6" fontId="188" fillId="0" borderId="0" xfId="0" applyNumberFormat="1" applyFont="1"/>
    <xf numFmtId="0" fontId="0" fillId="0" borderId="0" xfId="0" applyFont="1" applyAlignment="1">
      <alignment horizontal="left" indent="2"/>
    </xf>
    <xf numFmtId="0" fontId="0" fillId="0" borderId="31" xfId="0" applyBorder="1" applyAlignment="1"/>
    <xf numFmtId="164" fontId="0" fillId="0" borderId="0" xfId="0" applyNumberFormat="1" applyBorder="1" applyAlignment="1"/>
    <xf numFmtId="0" fontId="0" fillId="0" borderId="0" xfId="0" applyBorder="1" applyAlignment="1"/>
    <xf numFmtId="0" fontId="188" fillId="0" borderId="8" xfId="0" applyFont="1" applyBorder="1"/>
    <xf numFmtId="164" fontId="0" fillId="0" borderId="44" xfId="0" applyNumberFormat="1" applyBorder="1" applyAlignment="1"/>
    <xf numFmtId="254" fontId="174" fillId="0" borderId="56" xfId="0" applyNumberFormat="1" applyFont="1" applyBorder="1"/>
    <xf numFmtId="0" fontId="0" fillId="0" borderId="0" xfId="0" quotePrefix="1"/>
    <xf numFmtId="0" fontId="190" fillId="92" borderId="47" xfId="0" applyFont="1" applyFill="1" applyBorder="1" applyAlignment="1"/>
    <xf numFmtId="254" fontId="0" fillId="0" borderId="44" xfId="0" applyNumberFormat="1" applyBorder="1" applyAlignment="1"/>
    <xf numFmtId="164" fontId="181" fillId="0" borderId="0" xfId="0" applyNumberFormat="1" applyFont="1" applyBorder="1" applyAlignment="1"/>
    <xf numFmtId="164" fontId="155" fillId="0" borderId="0" xfId="567" applyNumberFormat="1" applyFont="1" applyBorder="1" applyAlignment="1"/>
    <xf numFmtId="164" fontId="0" fillId="0" borderId="57" xfId="0" applyNumberFormat="1" applyBorder="1"/>
    <xf numFmtId="0" fontId="184" fillId="92" borderId="0" xfId="0" applyFont="1" applyFill="1" applyBorder="1" applyAlignment="1"/>
    <xf numFmtId="0" fontId="184" fillId="92" borderId="51" xfId="0" applyFont="1" applyFill="1" applyBorder="1" applyAlignment="1"/>
    <xf numFmtId="164" fontId="0" fillId="0" borderId="51" xfId="0" applyNumberFormat="1" applyBorder="1"/>
    <xf numFmtId="0" fontId="186" fillId="94" borderId="58" xfId="0" applyFont="1" applyFill="1" applyBorder="1" applyAlignment="1">
      <alignment horizontal="left"/>
    </xf>
    <xf numFmtId="0" fontId="0" fillId="0" borderId="7" xfId="0" applyBorder="1" applyAlignment="1"/>
    <xf numFmtId="254" fontId="0" fillId="0" borderId="0" xfId="0" applyNumberFormat="1" applyBorder="1" applyAlignment="1"/>
    <xf numFmtId="164" fontId="174" fillId="0" borderId="56" xfId="567" applyNumberFormat="1" applyFont="1" applyBorder="1"/>
    <xf numFmtId="164" fontId="174" fillId="0" borderId="44" xfId="567" applyNumberFormat="1" applyFont="1" applyBorder="1" applyAlignment="1"/>
    <xf numFmtId="254" fontId="0" fillId="0" borderId="56" xfId="0" applyNumberFormat="1" applyBorder="1"/>
    <xf numFmtId="254" fontId="181" fillId="0" borderId="56" xfId="0" applyNumberFormat="1" applyFont="1" applyBorder="1"/>
    <xf numFmtId="254" fontId="174" fillId="0" borderId="44" xfId="0" applyNumberFormat="1" applyFont="1" applyBorder="1" applyAlignment="1"/>
    <xf numFmtId="254" fontId="0" fillId="0" borderId="51" xfId="0" applyNumberFormat="1" applyBorder="1"/>
    <xf numFmtId="164" fontId="191" fillId="0" borderId="0" xfId="567" quotePrefix="1" applyNumberFormat="1" applyFont="1"/>
    <xf numFmtId="44" fontId="155" fillId="0" borderId="0" xfId="567" applyFont="1" applyBorder="1"/>
    <xf numFmtId="255" fontId="0" fillId="0" borderId="0" xfId="0" applyNumberFormat="1" applyBorder="1" applyAlignment="1"/>
    <xf numFmtId="0" fontId="0" fillId="0" borderId="0" xfId="0"/>
    <xf numFmtId="166" fontId="0" fillId="0" borderId="0" xfId="0" applyNumberFormat="1"/>
    <xf numFmtId="0" fontId="0" fillId="0" borderId="8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164" fontId="0" fillId="0" borderId="56" xfId="0" applyNumberFormat="1" applyBorder="1"/>
    <xf numFmtId="164" fontId="0" fillId="0" borderId="46" xfId="0" applyNumberFormat="1" applyBorder="1"/>
    <xf numFmtId="164" fontId="181" fillId="0" borderId="56" xfId="0" applyNumberFormat="1" applyFont="1" applyFill="1" applyBorder="1"/>
    <xf numFmtId="254" fontId="181" fillId="0" borderId="51" xfId="0" applyNumberFormat="1" applyFont="1" applyBorder="1"/>
    <xf numFmtId="0" fontId="187" fillId="0" borderId="0" xfId="0" applyFont="1" applyAlignment="1">
      <alignment horizontal="left" indent="1"/>
    </xf>
    <xf numFmtId="0" fontId="187" fillId="0" borderId="0" xfId="0" applyFont="1" applyAlignment="1">
      <alignment horizontal="right"/>
    </xf>
    <xf numFmtId="10" fontId="0" fillId="0" borderId="31" xfId="0" applyNumberFormat="1" applyBorder="1"/>
    <xf numFmtId="10" fontId="0" fillId="0" borderId="48" xfId="0" applyNumberFormat="1" applyBorder="1"/>
    <xf numFmtId="10" fontId="0" fillId="0" borderId="45" xfId="0" applyNumberFormat="1" applyBorder="1"/>
    <xf numFmtId="10" fontId="0" fillId="0" borderId="50" xfId="0" applyNumberFormat="1" applyBorder="1"/>
    <xf numFmtId="253" fontId="181" fillId="0" borderId="49" xfId="0" applyNumberFormat="1" applyFont="1" applyFill="1" applyBorder="1" applyAlignment="1">
      <alignment horizontal="right"/>
    </xf>
    <xf numFmtId="253" fontId="181" fillId="0" borderId="31" xfId="0" applyNumberFormat="1" applyFont="1" applyFill="1" applyBorder="1" applyAlignment="1">
      <alignment horizontal="right"/>
    </xf>
    <xf numFmtId="253" fontId="181" fillId="0" borderId="48" xfId="0" applyNumberFormat="1" applyFont="1" applyFill="1" applyBorder="1" applyAlignment="1">
      <alignment horizontal="right"/>
    </xf>
    <xf numFmtId="253" fontId="181" fillId="0" borderId="51" xfId="0" applyNumberFormat="1" applyFont="1" applyFill="1" applyBorder="1" applyAlignment="1">
      <alignment horizontal="right"/>
    </xf>
    <xf numFmtId="253" fontId="181" fillId="0" borderId="47" xfId="0" applyNumberFormat="1" applyFont="1" applyFill="1" applyBorder="1" applyAlignment="1">
      <alignment horizontal="right"/>
    </xf>
    <xf numFmtId="253" fontId="181" fillId="0" borderId="50" xfId="0" applyNumberFormat="1" applyFont="1" applyFill="1" applyBorder="1" applyAlignment="1">
      <alignment horizontal="right"/>
    </xf>
    <xf numFmtId="0" fontId="0" fillId="0" borderId="0" xfId="0"/>
    <xf numFmtId="253" fontId="181" fillId="0" borderId="0" xfId="0" applyNumberFormat="1" applyFont="1" applyFill="1" applyBorder="1" applyAlignment="1">
      <alignment horizontal="right"/>
    </xf>
    <xf numFmtId="253" fontId="181" fillId="0" borderId="45" xfId="0" applyNumberFormat="1" applyFont="1" applyFill="1" applyBorder="1" applyAlignment="1">
      <alignment horizontal="right"/>
    </xf>
    <xf numFmtId="253" fontId="181" fillId="0" borderId="46" xfId="0" applyNumberFormat="1" applyFont="1" applyFill="1" applyBorder="1" applyAlignment="1">
      <alignment horizontal="right"/>
    </xf>
    <xf numFmtId="0" fontId="0" fillId="0" borderId="0" xfId="0"/>
    <xf numFmtId="164" fontId="155" fillId="0" borderId="51" xfId="567" applyNumberFormat="1" applyFont="1" applyBorder="1"/>
    <xf numFmtId="0" fontId="0" fillId="0" borderId="31" xfId="0" applyBorder="1"/>
    <xf numFmtId="0" fontId="174" fillId="0" borderId="0" xfId="0" applyFont="1" applyBorder="1"/>
    <xf numFmtId="253" fontId="181" fillId="0" borderId="46" xfId="0" applyNumberFormat="1" applyFont="1" applyFill="1" applyBorder="1" applyAlignment="1">
      <alignment horizontal="right"/>
    </xf>
    <xf numFmtId="164" fontId="181" fillId="0" borderId="51" xfId="0" applyNumberFormat="1" applyFont="1" applyFill="1" applyBorder="1"/>
    <xf numFmtId="44" fontId="0" fillId="0" borderId="0" xfId="0" applyNumberFormat="1"/>
    <xf numFmtId="166" fontId="0" fillId="0" borderId="59" xfId="0" applyNumberFormat="1" applyBorder="1"/>
    <xf numFmtId="44" fontId="0" fillId="0" borderId="13" xfId="0" applyNumberFormat="1" applyBorder="1"/>
    <xf numFmtId="0" fontId="0" fillId="0" borderId="0" xfId="0" applyAlignment="1">
      <alignment horizontal="left" indent="1"/>
    </xf>
    <xf numFmtId="261" fontId="193" fillId="0" borderId="0" xfId="0" applyNumberFormat="1" applyFont="1" applyFill="1"/>
    <xf numFmtId="0" fontId="195" fillId="0" borderId="8" xfId="0" applyFont="1" applyBorder="1" applyAlignment="1">
      <alignment horizontal="left"/>
    </xf>
    <xf numFmtId="0" fontId="196" fillId="0" borderId="8" xfId="0" applyFont="1" applyBorder="1" applyAlignment="1">
      <alignment horizontal="left" indent="1"/>
    </xf>
    <xf numFmtId="0" fontId="196" fillId="0" borderId="50" xfId="0" applyFont="1" applyBorder="1" applyAlignment="1">
      <alignment horizontal="left" indent="1"/>
    </xf>
    <xf numFmtId="0" fontId="196" fillId="0" borderId="45" xfId="0" applyFont="1" applyBorder="1" applyAlignment="1">
      <alignment horizontal="left" indent="1"/>
    </xf>
    <xf numFmtId="0" fontId="197" fillId="0" borderId="46" xfId="0" applyFont="1" applyBorder="1"/>
    <xf numFmtId="0" fontId="197" fillId="0" borderId="47" xfId="0" applyFont="1" applyBorder="1" applyAlignment="1">
      <alignment horizontal="left" indent="2"/>
    </xf>
    <xf numFmtId="0" fontId="197" fillId="0" borderId="0" xfId="0" applyFont="1" applyBorder="1" applyAlignment="1">
      <alignment horizontal="left" indent="2"/>
    </xf>
    <xf numFmtId="0" fontId="196" fillId="0" borderId="58" xfId="0" applyFont="1" applyBorder="1" applyAlignment="1">
      <alignment horizontal="left" indent="1"/>
    </xf>
    <xf numFmtId="0" fontId="197" fillId="0" borderId="60" xfId="0" applyFont="1" applyBorder="1"/>
    <xf numFmtId="0" fontId="197" fillId="0" borderId="48" xfId="0" applyFont="1" applyBorder="1" applyAlignment="1">
      <alignment horizontal="left" indent="2"/>
    </xf>
    <xf numFmtId="0" fontId="197" fillId="0" borderId="31" xfId="0" applyFont="1" applyBorder="1" applyAlignment="1">
      <alignment horizontal="left" indent="2"/>
    </xf>
    <xf numFmtId="164" fontId="177" fillId="0" borderId="61" xfId="0" applyNumberFormat="1" applyFont="1" applyBorder="1"/>
    <xf numFmtId="164" fontId="177" fillId="0" borderId="62" xfId="0" applyNumberFormat="1" applyFont="1" applyBorder="1"/>
    <xf numFmtId="44" fontId="175" fillId="0" borderId="0" xfId="567" applyFont="1" applyBorder="1"/>
    <xf numFmtId="164" fontId="155" fillId="0" borderId="0" xfId="567" applyNumberFormat="1" applyFont="1" applyBorder="1"/>
    <xf numFmtId="0" fontId="0" fillId="0" borderId="0" xfId="0"/>
    <xf numFmtId="0" fontId="195" fillId="0" borderId="0" xfId="0" applyFont="1"/>
    <xf numFmtId="0" fontId="195" fillId="0" borderId="0" xfId="0" applyFont="1" applyAlignment="1">
      <alignment horizontal="left"/>
    </xf>
    <xf numFmtId="164" fontId="155" fillId="0" borderId="0" xfId="567" applyNumberFormat="1" applyFont="1"/>
    <xf numFmtId="164" fontId="155" fillId="0" borderId="0" xfId="567" applyNumberFormat="1" applyFont="1" applyBorder="1"/>
    <xf numFmtId="254" fontId="0" fillId="0" borderId="0" xfId="0" applyNumberFormat="1" applyBorder="1"/>
    <xf numFmtId="164" fontId="0" fillId="0" borderId="0" xfId="0" applyNumberFormat="1" applyBorder="1"/>
    <xf numFmtId="0" fontId="0" fillId="0" borderId="8" xfId="0" applyFill="1" applyBorder="1"/>
    <xf numFmtId="0" fontId="0" fillId="0" borderId="0" xfId="0" applyBorder="1" applyAlignment="1">
      <alignment horizontal="left"/>
    </xf>
    <xf numFmtId="0" fontId="0" fillId="0" borderId="8" xfId="0" applyFill="1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0" xfId="0" applyBorder="1"/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8" xfId="0" applyBorder="1"/>
    <xf numFmtId="0" fontId="0" fillId="0" borderId="0" xfId="0" applyAlignment="1">
      <alignment horizontal="left" indent="2"/>
    </xf>
    <xf numFmtId="0" fontId="183" fillId="0" borderId="0" xfId="0" applyFont="1" applyAlignment="1">
      <alignment horizontal="left" indent="2"/>
    </xf>
    <xf numFmtId="164" fontId="181" fillId="0" borderId="0" xfId="567" applyNumberFormat="1" applyFont="1"/>
    <xf numFmtId="0" fontId="181" fillId="0" borderId="0" xfId="0" applyFont="1" applyBorder="1"/>
    <xf numFmtId="164" fontId="181" fillId="0" borderId="0" xfId="0" applyNumberFormat="1" applyFont="1" applyBorder="1"/>
    <xf numFmtId="0" fontId="181" fillId="0" borderId="0" xfId="0" applyFont="1"/>
    <xf numFmtId="254" fontId="181" fillId="0" borderId="0" xfId="0" applyNumberFormat="1" applyFont="1" applyBorder="1"/>
    <xf numFmtId="164" fontId="181" fillId="0" borderId="0" xfId="567" applyNumberFormat="1" applyFont="1" applyBorder="1"/>
    <xf numFmtId="164" fontId="198" fillId="0" borderId="8" xfId="0" applyNumberFormat="1" applyFont="1" applyBorder="1" applyAlignment="1">
      <alignment horizontal="right" indent="1"/>
    </xf>
    <xf numFmtId="164" fontId="198" fillId="0" borderId="0" xfId="0" applyNumberFormat="1" applyFont="1" applyBorder="1" applyAlignment="1">
      <alignment horizontal="right" indent="1"/>
    </xf>
    <xf numFmtId="0" fontId="181" fillId="0" borderId="0" xfId="0" applyFont="1" applyAlignment="1">
      <alignment horizontal="left" indent="2"/>
    </xf>
    <xf numFmtId="165" fontId="181" fillId="0" borderId="0" xfId="0" applyNumberFormat="1" applyFont="1"/>
    <xf numFmtId="9" fontId="181" fillId="0" borderId="0" xfId="0" applyNumberFormat="1" applyFont="1"/>
    <xf numFmtId="10" fontId="181" fillId="0" borderId="0" xfId="0" applyNumberFormat="1" applyFont="1"/>
    <xf numFmtId="167" fontId="181" fillId="0" borderId="0" xfId="533" applyNumberFormat="1" applyFont="1" applyAlignment="1">
      <alignment horizontal="left" indent="1"/>
    </xf>
    <xf numFmtId="10" fontId="181" fillId="0" borderId="0" xfId="834" applyNumberFormat="1" applyFont="1"/>
    <xf numFmtId="0" fontId="0" fillId="0" borderId="0" xfId="0" applyFill="1" applyAlignment="1">
      <alignment horizontal="left" indent="2"/>
    </xf>
    <xf numFmtId="0" fontId="193" fillId="0" borderId="0" xfId="0" applyFont="1"/>
    <xf numFmtId="0" fontId="181" fillId="0" borderId="0" xfId="0" applyNumberFormat="1" applyFont="1"/>
    <xf numFmtId="164" fontId="181" fillId="0" borderId="63" xfId="567" applyNumberFormat="1" applyFont="1" applyBorder="1"/>
    <xf numFmtId="0" fontId="181" fillId="0" borderId="47" xfId="0" applyFont="1" applyBorder="1" applyAlignment="1">
      <alignment horizontal="left" indent="1"/>
    </xf>
    <xf numFmtId="164" fontId="181" fillId="0" borderId="51" xfId="567" applyNumberFormat="1" applyFont="1" applyBorder="1"/>
    <xf numFmtId="164" fontId="181" fillId="0" borderId="64" xfId="567" applyNumberFormat="1" applyFont="1" applyBorder="1"/>
    <xf numFmtId="0" fontId="181" fillId="0" borderId="45" xfId="0" applyFont="1" applyBorder="1"/>
    <xf numFmtId="0" fontId="181" fillId="0" borderId="31" xfId="0" applyFont="1" applyBorder="1"/>
    <xf numFmtId="254" fontId="199" fillId="0" borderId="44" xfId="0" applyNumberFormat="1" applyFont="1" applyBorder="1"/>
    <xf numFmtId="254" fontId="174" fillId="0" borderId="44" xfId="0" applyNumberFormat="1" applyFont="1" applyBorder="1"/>
    <xf numFmtId="164" fontId="199" fillId="0" borderId="44" xfId="567" applyNumberFormat="1" applyFont="1" applyBorder="1"/>
    <xf numFmtId="164" fontId="174" fillId="0" borderId="44" xfId="567" applyNumberFormat="1" applyFont="1" applyBorder="1"/>
    <xf numFmtId="254" fontId="181" fillId="0" borderId="44" xfId="0" applyNumberFormat="1" applyFont="1" applyBorder="1"/>
    <xf numFmtId="254" fontId="0" fillId="0" borderId="44" xfId="0" applyNumberFormat="1" applyBorder="1"/>
    <xf numFmtId="164" fontId="181" fillId="0" borderId="44" xfId="0" applyNumberFormat="1" applyFont="1" applyBorder="1"/>
    <xf numFmtId="164" fontId="0" fillId="0" borderId="44" xfId="0" applyNumberFormat="1" applyBorder="1"/>
    <xf numFmtId="164" fontId="181" fillId="0" borderId="44" xfId="0" applyNumberFormat="1" applyFont="1" applyFill="1" applyBorder="1"/>
    <xf numFmtId="168" fontId="0" fillId="0" borderId="0" xfId="0" applyNumberFormat="1" applyFill="1" applyBorder="1"/>
    <xf numFmtId="164" fontId="181" fillId="0" borderId="0" xfId="0" applyNumberFormat="1" applyFont="1" applyFill="1" applyBorder="1"/>
    <xf numFmtId="164" fontId="181" fillId="0" borderId="0" xfId="567" applyNumberFormat="1" applyFont="1" applyFill="1" applyBorder="1"/>
    <xf numFmtId="0" fontId="174" fillId="0" borderId="0" xfId="0" applyFont="1" applyBorder="1"/>
    <xf numFmtId="255" fontId="0" fillId="0" borderId="0" xfId="0" applyNumberFormat="1" applyBorder="1"/>
    <xf numFmtId="0" fontId="198" fillId="0" borderId="0" xfId="0" applyFont="1" applyBorder="1"/>
    <xf numFmtId="44" fontId="0" fillId="0" borderId="0" xfId="0" applyNumberFormat="1" applyBorder="1"/>
    <xf numFmtId="0" fontId="174" fillId="0" borderId="50" xfId="0" applyFont="1" applyBorder="1"/>
    <xf numFmtId="0" fontId="174" fillId="0" borderId="45" xfId="0" applyFont="1" applyBorder="1"/>
    <xf numFmtId="0" fontId="0" fillId="0" borderId="45" xfId="0" applyBorder="1"/>
    <xf numFmtId="0" fontId="0" fillId="0" borderId="47" xfId="0" applyFill="1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179" fillId="0" borderId="58" xfId="0" applyFont="1" applyBorder="1" applyAlignment="1">
      <alignment horizontal="right" indent="1"/>
    </xf>
    <xf numFmtId="0" fontId="174" fillId="0" borderId="47" xfId="0" applyFont="1" applyBorder="1"/>
    <xf numFmtId="0" fontId="179" fillId="0" borderId="58" xfId="0" applyFont="1" applyFill="1" applyBorder="1" applyAlignment="1">
      <alignment horizontal="right" indent="1"/>
    </xf>
    <xf numFmtId="0" fontId="0" fillId="0" borderId="47" xfId="0" applyBorder="1"/>
    <xf numFmtId="0" fontId="0" fillId="0" borderId="47" xfId="0" applyBorder="1" applyAlignment="1">
      <alignment horizontal="left"/>
    </xf>
    <xf numFmtId="0" fontId="178" fillId="0" borderId="58" xfId="0" applyFont="1" applyBorder="1" applyAlignment="1">
      <alignment horizontal="right" indent="1"/>
    </xf>
    <xf numFmtId="0" fontId="0" fillId="0" borderId="47" xfId="0" applyBorder="1" applyAlignment="1">
      <alignment horizontal="right" indent="1"/>
    </xf>
    <xf numFmtId="0" fontId="0" fillId="0" borderId="48" xfId="0" applyBorder="1"/>
    <xf numFmtId="0" fontId="0" fillId="0" borderId="31" xfId="0" applyBorder="1"/>
    <xf numFmtId="0" fontId="0" fillId="0" borderId="49" xfId="0" applyBorder="1"/>
    <xf numFmtId="0" fontId="0" fillId="0" borderId="50" xfId="0" applyBorder="1" applyAlignment="1">
      <alignment horizontal="left" indent="1"/>
    </xf>
    <xf numFmtId="0" fontId="0" fillId="0" borderId="45" xfId="0" applyBorder="1" applyAlignment="1">
      <alignment horizontal="left" indent="1"/>
    </xf>
    <xf numFmtId="164" fontId="181" fillId="0" borderId="45" xfId="0" applyNumberFormat="1" applyFont="1" applyBorder="1"/>
    <xf numFmtId="164" fontId="0" fillId="0" borderId="45" xfId="0" applyNumberFormat="1" applyBorder="1"/>
    <xf numFmtId="0" fontId="0" fillId="0" borderId="58" xfId="0" applyFill="1" applyBorder="1"/>
    <xf numFmtId="0" fontId="181" fillId="0" borderId="50" xfId="0" applyFont="1" applyBorder="1" applyAlignment="1">
      <alignment horizontal="left" indent="1"/>
    </xf>
    <xf numFmtId="253" fontId="181" fillId="0" borderId="45" xfId="0" applyNumberFormat="1" applyFont="1" applyFill="1" applyBorder="1" applyAlignment="1">
      <alignment horizontal="right"/>
    </xf>
    <xf numFmtId="164" fontId="181" fillId="0" borderId="51" xfId="567" applyNumberFormat="1" applyFont="1" applyFill="1" applyBorder="1"/>
    <xf numFmtId="0" fontId="0" fillId="0" borderId="58" xfId="0" applyBorder="1"/>
    <xf numFmtId="0" fontId="0" fillId="0" borderId="50" xfId="0" applyFill="1" applyBorder="1" applyAlignment="1">
      <alignment horizontal="left" indent="1"/>
    </xf>
    <xf numFmtId="0" fontId="0" fillId="0" borderId="45" xfId="0" applyFill="1" applyBorder="1" applyAlignment="1">
      <alignment horizontal="left" indent="1"/>
    </xf>
    <xf numFmtId="0" fontId="0" fillId="0" borderId="45" xfId="0" applyFill="1" applyBorder="1"/>
    <xf numFmtId="0" fontId="0" fillId="0" borderId="46" xfId="0" applyFill="1" applyBorder="1"/>
    <xf numFmtId="168" fontId="0" fillId="0" borderId="51" xfId="0" applyNumberFormat="1" applyFill="1" applyBorder="1"/>
    <xf numFmtId="0" fontId="200" fillId="0" borderId="0" xfId="0" applyFont="1" applyBorder="1" applyAlignment="1">
      <alignment horizontal="left" indent="1"/>
    </xf>
    <xf numFmtId="165" fontId="188" fillId="0" borderId="0" xfId="0" applyNumberFormat="1" applyFont="1"/>
    <xf numFmtId="164" fontId="188" fillId="0" borderId="0" xfId="567" applyNumberFormat="1" applyFont="1"/>
    <xf numFmtId="164" fontId="188" fillId="0" borderId="0" xfId="567" applyNumberFormat="1" applyFont="1" applyFill="1"/>
    <xf numFmtId="9" fontId="188" fillId="0" borderId="0" xfId="0" applyNumberFormat="1" applyFont="1"/>
    <xf numFmtId="10" fontId="188" fillId="0" borderId="0" xfId="0" applyNumberFormat="1" applyFont="1"/>
    <xf numFmtId="167" fontId="188" fillId="0" borderId="0" xfId="533" applyNumberFormat="1" applyFont="1" applyAlignment="1">
      <alignment horizontal="left" indent="1"/>
    </xf>
    <xf numFmtId="164" fontId="188" fillId="0" borderId="0" xfId="0" applyNumberFormat="1" applyFont="1"/>
    <xf numFmtId="9" fontId="188" fillId="0" borderId="0" xfId="0" applyNumberFormat="1" applyFont="1" applyFill="1"/>
    <xf numFmtId="164" fontId="181" fillId="0" borderId="51" xfId="0" applyNumberFormat="1" applyFont="1" applyBorder="1" applyAlignment="1"/>
    <xf numFmtId="0" fontId="0" fillId="0" borderId="51" xfId="0" applyBorder="1" applyAlignment="1"/>
    <xf numFmtId="164" fontId="0" fillId="0" borderId="56" xfId="0" applyNumberFormat="1" applyBorder="1" applyAlignment="1"/>
    <xf numFmtId="0" fontId="0" fillId="0" borderId="51" xfId="0" applyBorder="1"/>
    <xf numFmtId="164" fontId="191" fillId="0" borderId="0" xfId="567" applyNumberFormat="1" applyFont="1"/>
    <xf numFmtId="0" fontId="188" fillId="0" borderId="0" xfId="0" applyFont="1" applyAlignment="1">
      <alignment horizontal="right" indent="1"/>
    </xf>
    <xf numFmtId="1" fontId="188" fillId="0" borderId="0" xfId="567" applyNumberFormat="1" applyFont="1" applyFill="1" applyAlignment="1">
      <alignment horizontal="right" indent="1"/>
    </xf>
    <xf numFmtId="0" fontId="188" fillId="0" borderId="0" xfId="0" applyNumberFormat="1" applyFont="1" applyAlignment="1">
      <alignment horizontal="right" indent="1"/>
    </xf>
    <xf numFmtId="164" fontId="181" fillId="0" borderId="51" xfId="0" applyNumberFormat="1" applyFont="1" applyBorder="1"/>
    <xf numFmtId="9" fontId="201" fillId="0" borderId="0" xfId="0" applyNumberFormat="1" applyFont="1"/>
    <xf numFmtId="164" fontId="155" fillId="0" borderId="0" xfId="567" applyNumberFormat="1" applyFont="1" applyBorder="1" applyAlignment="1">
      <alignment horizontal="right"/>
    </xf>
    <xf numFmtId="0" fontId="0" fillId="0" borderId="0" xfId="0"/>
    <xf numFmtId="0" fontId="195" fillId="0" borderId="0" xfId="0" applyFont="1"/>
    <xf numFmtId="0" fontId="195" fillId="0" borderId="0" xfId="0" applyFont="1" applyAlignment="1">
      <alignment horizontal="left"/>
    </xf>
    <xf numFmtId="164" fontId="0" fillId="0" borderId="0" xfId="0" applyNumberFormat="1" applyBorder="1"/>
    <xf numFmtId="0" fontId="0" fillId="0" borderId="0" xfId="0" applyBorder="1"/>
    <xf numFmtId="0" fontId="0" fillId="0" borderId="8" xfId="0" applyBorder="1"/>
    <xf numFmtId="0" fontId="0" fillId="0" borderId="0" xfId="0" applyAlignment="1">
      <alignment horizontal="left" indent="2"/>
    </xf>
    <xf numFmtId="0" fontId="183" fillId="0" borderId="0" xfId="0" applyFont="1" applyAlignment="1">
      <alignment horizontal="left" indent="2"/>
    </xf>
    <xf numFmtId="164" fontId="181" fillId="0" borderId="0" xfId="567" applyNumberFormat="1" applyFont="1"/>
    <xf numFmtId="164" fontId="181" fillId="0" borderId="0" xfId="0" applyNumberFormat="1" applyFont="1" applyBorder="1"/>
    <xf numFmtId="0" fontId="181" fillId="0" borderId="0" xfId="0" applyFont="1"/>
    <xf numFmtId="0" fontId="181" fillId="0" borderId="0" xfId="0" applyFont="1" applyAlignment="1">
      <alignment horizontal="left" indent="2"/>
    </xf>
    <xf numFmtId="165" fontId="181" fillId="0" borderId="0" xfId="0" applyNumberFormat="1" applyFont="1"/>
    <xf numFmtId="9" fontId="181" fillId="0" borderId="0" xfId="0" applyNumberFormat="1" applyFont="1"/>
    <xf numFmtId="10" fontId="181" fillId="0" borderId="0" xfId="0" applyNumberFormat="1" applyFont="1"/>
    <xf numFmtId="167" fontId="181" fillId="0" borderId="0" xfId="533" applyNumberFormat="1" applyFont="1" applyAlignment="1">
      <alignment horizontal="left" indent="1"/>
    </xf>
    <xf numFmtId="10" fontId="181" fillId="0" borderId="0" xfId="834" applyNumberFormat="1" applyFont="1"/>
    <xf numFmtId="0" fontId="0" fillId="0" borderId="0" xfId="0" applyFill="1" applyAlignment="1">
      <alignment horizontal="left" indent="2"/>
    </xf>
    <xf numFmtId="0" fontId="193" fillId="0" borderId="0" xfId="0" applyFont="1"/>
    <xf numFmtId="0" fontId="181" fillId="0" borderId="0" xfId="0" applyNumberFormat="1" applyFont="1"/>
    <xf numFmtId="164" fontId="181" fillId="0" borderId="63" xfId="567" applyNumberFormat="1" applyFont="1" applyBorder="1"/>
    <xf numFmtId="0" fontId="181" fillId="0" borderId="45" xfId="0" applyFont="1" applyBorder="1"/>
    <xf numFmtId="254" fontId="199" fillId="0" borderId="44" xfId="0" applyNumberFormat="1" applyFont="1" applyBorder="1"/>
    <xf numFmtId="254" fontId="174" fillId="0" borderId="44" xfId="0" applyNumberFormat="1" applyFont="1" applyBorder="1"/>
    <xf numFmtId="164" fontId="199" fillId="0" borderId="44" xfId="567" applyNumberFormat="1" applyFont="1" applyBorder="1"/>
    <xf numFmtId="164" fontId="174" fillId="0" borderId="44" xfId="567" applyNumberFormat="1" applyFont="1" applyBorder="1"/>
    <xf numFmtId="254" fontId="181" fillId="0" borderId="44" xfId="0" applyNumberFormat="1" applyFont="1" applyBorder="1"/>
    <xf numFmtId="254" fontId="0" fillId="0" borderId="44" xfId="0" applyNumberFormat="1" applyBorder="1"/>
    <xf numFmtId="164" fontId="181" fillId="0" borderId="44" xfId="0" applyNumberFormat="1" applyFont="1" applyBorder="1"/>
    <xf numFmtId="164" fontId="0" fillId="0" borderId="44" xfId="0" applyNumberFormat="1" applyBorder="1"/>
    <xf numFmtId="164" fontId="181" fillId="0" borderId="44" xfId="0" applyNumberFormat="1" applyFont="1" applyFill="1" applyBorder="1"/>
    <xf numFmtId="164" fontId="181" fillId="0" borderId="0" xfId="567" applyNumberFormat="1" applyFont="1" applyFill="1" applyBorder="1"/>
    <xf numFmtId="0" fontId="174" fillId="0" borderId="0" xfId="0" applyFont="1" applyBorder="1"/>
    <xf numFmtId="255" fontId="0" fillId="0" borderId="0" xfId="0" applyNumberFormat="1" applyBorder="1"/>
    <xf numFmtId="0" fontId="174" fillId="0" borderId="45" xfId="0" applyFont="1" applyBorder="1"/>
    <xf numFmtId="0" fontId="0" fillId="0" borderId="45" xfId="0" applyBorder="1"/>
    <xf numFmtId="0" fontId="179" fillId="0" borderId="58" xfId="0" applyFont="1" applyBorder="1" applyAlignment="1">
      <alignment horizontal="right" indent="1"/>
    </xf>
    <xf numFmtId="0" fontId="174" fillId="0" borderId="47" xfId="0" applyFont="1" applyBorder="1"/>
    <xf numFmtId="0" fontId="179" fillId="0" borderId="58" xfId="0" applyFont="1" applyFill="1" applyBorder="1" applyAlignment="1">
      <alignment horizontal="right" indent="1"/>
    </xf>
    <xf numFmtId="0" fontId="0" fillId="0" borderId="47" xfId="0" applyBorder="1"/>
    <xf numFmtId="0" fontId="178" fillId="0" borderId="58" xfId="0" applyFont="1" applyBorder="1" applyAlignment="1">
      <alignment horizontal="right" indent="1"/>
    </xf>
    <xf numFmtId="0" fontId="0" fillId="0" borderId="48" xfId="0" applyBorder="1"/>
    <xf numFmtId="0" fontId="0" fillId="0" borderId="31" xfId="0" applyBorder="1"/>
    <xf numFmtId="0" fontId="0" fillId="0" borderId="49" xfId="0" applyBorder="1"/>
    <xf numFmtId="164" fontId="181" fillId="0" borderId="45" xfId="0" applyNumberFormat="1" applyFont="1" applyBorder="1"/>
    <xf numFmtId="164" fontId="0" fillId="0" borderId="45" xfId="0" applyNumberFormat="1" applyBorder="1"/>
    <xf numFmtId="0" fontId="181" fillId="0" borderId="50" xfId="0" applyFont="1" applyBorder="1" applyAlignment="1">
      <alignment horizontal="left" indent="1"/>
    </xf>
    <xf numFmtId="168" fontId="0" fillId="0" borderId="51" xfId="0" applyNumberFormat="1" applyFill="1" applyBorder="1"/>
    <xf numFmtId="0" fontId="200" fillId="0" borderId="0" xfId="0" applyFont="1" applyBorder="1" applyAlignment="1">
      <alignment horizontal="left" indent="1"/>
    </xf>
    <xf numFmtId="165" fontId="188" fillId="0" borderId="0" xfId="0" applyNumberFormat="1" applyFont="1"/>
    <xf numFmtId="164" fontId="188" fillId="0" borderId="0" xfId="567" applyNumberFormat="1" applyFont="1"/>
    <xf numFmtId="164" fontId="188" fillId="0" borderId="0" xfId="567" applyNumberFormat="1" applyFont="1" applyFill="1"/>
    <xf numFmtId="9" fontId="188" fillId="0" borderId="0" xfId="0" applyNumberFormat="1" applyFont="1"/>
    <xf numFmtId="10" fontId="188" fillId="0" borderId="0" xfId="0" applyNumberFormat="1" applyFont="1"/>
    <xf numFmtId="164" fontId="188" fillId="0" borderId="0" xfId="0" applyNumberFormat="1" applyFont="1"/>
    <xf numFmtId="9" fontId="188" fillId="0" borderId="0" xfId="0" applyNumberFormat="1" applyFont="1" applyFill="1"/>
    <xf numFmtId="164" fontId="181" fillId="0" borderId="51" xfId="0" applyNumberFormat="1" applyFont="1" applyBorder="1" applyAlignment="1"/>
    <xf numFmtId="0" fontId="0" fillId="0" borderId="51" xfId="0" applyBorder="1" applyAlignment="1"/>
    <xf numFmtId="164" fontId="0" fillId="0" borderId="56" xfId="0" applyNumberFormat="1" applyBorder="1" applyAlignment="1"/>
    <xf numFmtId="0" fontId="0" fillId="0" borderId="51" xfId="0" applyBorder="1"/>
    <xf numFmtId="164" fontId="191" fillId="0" borderId="0" xfId="567" applyNumberFormat="1" applyFont="1"/>
    <xf numFmtId="0" fontId="188" fillId="0" borderId="0" xfId="0" applyFont="1" applyAlignment="1">
      <alignment horizontal="right" indent="1"/>
    </xf>
    <xf numFmtId="1" fontId="188" fillId="0" borderId="0" xfId="567" applyNumberFormat="1" applyFont="1" applyFill="1" applyAlignment="1">
      <alignment horizontal="right" indent="1"/>
    </xf>
    <xf numFmtId="0" fontId="188" fillId="0" borderId="0" xfId="0" applyNumberFormat="1" applyFont="1" applyAlignment="1">
      <alignment horizontal="right" indent="1"/>
    </xf>
    <xf numFmtId="164" fontId="181" fillId="0" borderId="51" xfId="0" applyNumberFormat="1" applyFont="1" applyBorder="1"/>
    <xf numFmtId="9" fontId="201" fillId="0" borderId="0" xfId="0" applyNumberFormat="1" applyFont="1"/>
    <xf numFmtId="0" fontId="184" fillId="92" borderId="0" xfId="0" applyFont="1" applyFill="1" applyAlignment="1"/>
    <xf numFmtId="0" fontId="185" fillId="93" borderId="0" xfId="0" applyFont="1" applyFill="1" applyAlignment="1"/>
    <xf numFmtId="0" fontId="186" fillId="94" borderId="47" xfId="0" applyFont="1" applyFill="1" applyBorder="1" applyAlignment="1">
      <alignment horizontal="left"/>
    </xf>
    <xf numFmtId="0" fontId="0" fillId="94" borderId="47" xfId="0" applyFont="1" applyFill="1" applyBorder="1" applyAlignment="1">
      <alignment horizontal="left" indent="2"/>
    </xf>
    <xf numFmtId="0" fontId="187" fillId="0" borderId="4" xfId="0" applyFont="1" applyBorder="1"/>
    <xf numFmtId="14" fontId="174" fillId="0" borderId="4" xfId="0" applyNumberFormat="1" applyFont="1" applyBorder="1"/>
    <xf numFmtId="258" fontId="174" fillId="0" borderId="4" xfId="0" applyNumberFormat="1" applyFont="1" applyBorder="1"/>
    <xf numFmtId="0" fontId="0" fillId="94" borderId="47" xfId="0" applyFill="1" applyBorder="1" applyAlignment="1">
      <alignment horizontal="left" indent="2"/>
    </xf>
    <xf numFmtId="9" fontId="188" fillId="0" borderId="0" xfId="834" applyFont="1"/>
    <xf numFmtId="6" fontId="188" fillId="0" borderId="0" xfId="0" applyNumberFormat="1" applyFont="1"/>
    <xf numFmtId="164" fontId="189" fillId="0" borderId="0" xfId="567" applyNumberFormat="1" applyFont="1" applyBorder="1"/>
    <xf numFmtId="0" fontId="0" fillId="0" borderId="0" xfId="0" applyFont="1" applyAlignment="1">
      <alignment horizontal="left" indent="2"/>
    </xf>
    <xf numFmtId="0" fontId="0" fillId="0" borderId="31" xfId="0" applyBorder="1" applyAlignment="1"/>
    <xf numFmtId="164" fontId="0" fillId="0" borderId="0" xfId="0" applyNumberFormat="1" applyBorder="1" applyAlignment="1"/>
    <xf numFmtId="0" fontId="0" fillId="0" borderId="0" xfId="0" applyBorder="1" applyAlignment="1"/>
    <xf numFmtId="0" fontId="189" fillId="0" borderId="0" xfId="0" applyFont="1"/>
    <xf numFmtId="0" fontId="188" fillId="0" borderId="8" xfId="0" applyFont="1" applyBorder="1"/>
    <xf numFmtId="164" fontId="0" fillId="0" borderId="44" xfId="0" applyNumberFormat="1" applyBorder="1" applyAlignment="1"/>
    <xf numFmtId="254" fontId="174" fillId="0" borderId="56" xfId="0" applyNumberFormat="1" applyFont="1" applyBorder="1"/>
    <xf numFmtId="0" fontId="0" fillId="0" borderId="0" xfId="0" quotePrefix="1"/>
    <xf numFmtId="0" fontId="190" fillId="92" borderId="47" xfId="0" applyFont="1" applyFill="1" applyBorder="1" applyAlignment="1"/>
    <xf numFmtId="254" fontId="0" fillId="0" borderId="44" xfId="0" applyNumberFormat="1" applyBorder="1" applyAlignment="1"/>
    <xf numFmtId="164" fontId="181" fillId="0" borderId="0" xfId="0" applyNumberFormat="1" applyFont="1" applyBorder="1" applyAlignment="1"/>
    <xf numFmtId="164" fontId="155" fillId="0" borderId="0" xfId="567" applyNumberFormat="1" applyFont="1" applyBorder="1" applyAlignment="1"/>
    <xf numFmtId="164" fontId="0" fillId="0" borderId="57" xfId="0" applyNumberFormat="1" applyBorder="1"/>
    <xf numFmtId="0" fontId="184" fillId="92" borderId="0" xfId="0" applyFont="1" applyFill="1" applyBorder="1" applyAlignment="1"/>
    <xf numFmtId="0" fontId="184" fillId="92" borderId="51" xfId="0" applyFont="1" applyFill="1" applyBorder="1" applyAlignment="1"/>
    <xf numFmtId="164" fontId="0" fillId="0" borderId="51" xfId="0" applyNumberFormat="1" applyBorder="1"/>
    <xf numFmtId="0" fontId="186" fillId="94" borderId="58" xfId="0" applyFont="1" applyFill="1" applyBorder="1" applyAlignment="1">
      <alignment horizontal="left"/>
    </xf>
    <xf numFmtId="0" fontId="0" fillId="0" borderId="7" xfId="0" applyBorder="1" applyAlignment="1"/>
    <xf numFmtId="254" fontId="0" fillId="0" borderId="0" xfId="0" applyNumberFormat="1" applyBorder="1" applyAlignment="1"/>
    <xf numFmtId="164" fontId="174" fillId="0" borderId="56" xfId="567" applyNumberFormat="1" applyFont="1" applyBorder="1"/>
    <xf numFmtId="164" fontId="181" fillId="0" borderId="64" xfId="567" applyNumberFormat="1" applyFont="1" applyBorder="1"/>
    <xf numFmtId="167" fontId="188" fillId="0" borderId="0" xfId="533" applyNumberFormat="1" applyFont="1" applyAlignment="1">
      <alignment horizontal="left" indent="1"/>
    </xf>
    <xf numFmtId="164" fontId="174" fillId="0" borderId="44" xfId="567" applyNumberFormat="1" applyFont="1" applyBorder="1" applyAlignment="1"/>
    <xf numFmtId="254" fontId="0" fillId="0" borderId="56" xfId="0" applyNumberFormat="1" applyBorder="1"/>
    <xf numFmtId="254" fontId="181" fillId="0" borderId="56" xfId="0" applyNumberFormat="1" applyFont="1" applyBorder="1"/>
    <xf numFmtId="254" fontId="174" fillId="0" borderId="44" xfId="0" applyNumberFormat="1" applyFont="1" applyBorder="1" applyAlignment="1"/>
    <xf numFmtId="254" fontId="0" fillId="0" borderId="51" xfId="0" applyNumberFormat="1" applyBorder="1"/>
    <xf numFmtId="164" fontId="191" fillId="0" borderId="0" xfId="567" quotePrefix="1" applyNumberFormat="1" applyFont="1"/>
    <xf numFmtId="255" fontId="0" fillId="0" borderId="0" xfId="0" applyNumberFormat="1" applyBorder="1" applyAlignment="1"/>
    <xf numFmtId="0" fontId="0" fillId="0" borderId="8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192" fillId="0" borderId="0" xfId="0" applyFont="1"/>
    <xf numFmtId="164" fontId="0" fillId="0" borderId="56" xfId="0" applyNumberFormat="1" applyBorder="1"/>
    <xf numFmtId="164" fontId="0" fillId="0" borderId="46" xfId="0" applyNumberFormat="1" applyBorder="1"/>
    <xf numFmtId="164" fontId="181" fillId="0" borderId="56" xfId="0" applyNumberFormat="1" applyFont="1" applyFill="1" applyBorder="1"/>
    <xf numFmtId="164" fontId="181" fillId="0" borderId="51" xfId="567" applyNumberFormat="1" applyFont="1" applyFill="1" applyBorder="1"/>
    <xf numFmtId="254" fontId="181" fillId="0" borderId="51" xfId="0" applyNumberFormat="1" applyFont="1" applyBorder="1"/>
    <xf numFmtId="253" fontId="181" fillId="0" borderId="45" xfId="0" applyNumberFormat="1" applyFont="1" applyFill="1" applyBorder="1" applyAlignment="1">
      <alignment horizontal="right"/>
    </xf>
    <xf numFmtId="253" fontId="181" fillId="0" borderId="46" xfId="0" applyNumberFormat="1" applyFont="1" applyFill="1" applyBorder="1" applyAlignment="1">
      <alignment horizontal="right"/>
    </xf>
    <xf numFmtId="164" fontId="0" fillId="0" borderId="0" xfId="0" applyNumberFormat="1"/>
    <xf numFmtId="164" fontId="155" fillId="0" borderId="0" xfId="567" applyNumberFormat="1" applyFont="1"/>
    <xf numFmtId="164" fontId="155" fillId="0" borderId="0" xfId="567" applyNumberFormat="1" applyFont="1" applyBorder="1"/>
    <xf numFmtId="254" fontId="0" fillId="0" borderId="0" xfId="0" applyNumberFormat="1" applyBorder="1"/>
    <xf numFmtId="0" fontId="0" fillId="0" borderId="8" xfId="0" applyFill="1" applyBorder="1"/>
    <xf numFmtId="0" fontId="0" fillId="0" borderId="0" xfId="0" applyBorder="1" applyAlignment="1">
      <alignment horizontal="left"/>
    </xf>
    <xf numFmtId="0" fontId="0" fillId="0" borderId="8" xfId="0" applyFill="1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181" fillId="0" borderId="0" xfId="0" applyFont="1" applyBorder="1"/>
    <xf numFmtId="254" fontId="181" fillId="0" borderId="0" xfId="0" applyNumberFormat="1" applyFont="1" applyBorder="1"/>
    <xf numFmtId="164" fontId="181" fillId="0" borderId="0" xfId="567" applyNumberFormat="1" applyFont="1" applyBorder="1"/>
    <xf numFmtId="164" fontId="198" fillId="0" borderId="8" xfId="0" applyNumberFormat="1" applyFont="1" applyBorder="1" applyAlignment="1">
      <alignment horizontal="right" indent="1"/>
    </xf>
    <xf numFmtId="164" fontId="198" fillId="0" borderId="0" xfId="0" applyNumberFormat="1" applyFont="1" applyBorder="1" applyAlignment="1">
      <alignment horizontal="right" indent="1"/>
    </xf>
    <xf numFmtId="164" fontId="155" fillId="0" borderId="51" xfId="567" applyNumberFormat="1" applyFont="1" applyBorder="1"/>
    <xf numFmtId="0" fontId="174" fillId="0" borderId="50" xfId="0" applyFont="1" applyBorder="1"/>
    <xf numFmtId="164" fontId="181" fillId="0" borderId="0" xfId="0" applyNumberFormat="1" applyFont="1" applyFill="1" applyBorder="1"/>
    <xf numFmtId="0" fontId="181" fillId="0" borderId="31" xfId="0" applyFont="1" applyBorder="1"/>
    <xf numFmtId="168" fontId="0" fillId="0" borderId="0" xfId="0" applyNumberFormat="1" applyFill="1" applyBorder="1"/>
    <xf numFmtId="0" fontId="198" fillId="0" borderId="0" xfId="0" applyFont="1" applyBorder="1"/>
    <xf numFmtId="44" fontId="0" fillId="0" borderId="0" xfId="0" applyNumberFormat="1" applyBorder="1"/>
    <xf numFmtId="0" fontId="0" fillId="0" borderId="47" xfId="0" applyFill="1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0" fillId="0" borderId="47" xfId="0" applyBorder="1" applyAlignment="1">
      <alignment horizontal="left"/>
    </xf>
    <xf numFmtId="0" fontId="0" fillId="0" borderId="47" xfId="0" applyBorder="1" applyAlignment="1">
      <alignment horizontal="right" indent="1"/>
    </xf>
    <xf numFmtId="0" fontId="0" fillId="0" borderId="50" xfId="0" applyBorder="1" applyAlignment="1">
      <alignment horizontal="left" indent="1"/>
    </xf>
    <xf numFmtId="0" fontId="0" fillId="0" borderId="45" xfId="0" applyBorder="1" applyAlignment="1">
      <alignment horizontal="left" indent="1"/>
    </xf>
    <xf numFmtId="0" fontId="0" fillId="0" borderId="58" xfId="0" applyFill="1" applyBorder="1"/>
    <xf numFmtId="164" fontId="181" fillId="0" borderId="51" xfId="0" applyNumberFormat="1" applyFont="1" applyFill="1" applyBorder="1"/>
    <xf numFmtId="0" fontId="0" fillId="0" borderId="58" xfId="0" applyBorder="1"/>
    <xf numFmtId="0" fontId="0" fillId="0" borderId="50" xfId="0" applyFill="1" applyBorder="1" applyAlignment="1">
      <alignment horizontal="left" indent="1"/>
    </xf>
    <xf numFmtId="0" fontId="0" fillId="0" borderId="45" xfId="0" applyFill="1" applyBorder="1" applyAlignment="1">
      <alignment horizontal="left" indent="1"/>
    </xf>
    <xf numFmtId="0" fontId="0" fillId="0" borderId="45" xfId="0" applyFill="1" applyBorder="1"/>
    <xf numFmtId="0" fontId="0" fillId="0" borderId="46" xfId="0" applyFill="1" applyBorder="1"/>
    <xf numFmtId="44" fontId="0" fillId="0" borderId="0" xfId="0" applyNumberFormat="1"/>
    <xf numFmtId="0" fontId="0" fillId="0" borderId="0" xfId="0" applyAlignment="1">
      <alignment horizontal="left" indent="1"/>
    </xf>
    <xf numFmtId="259" fontId="181" fillId="0" borderId="0" xfId="0" applyNumberFormat="1" applyFont="1" applyBorder="1"/>
    <xf numFmtId="260" fontId="181" fillId="0" borderId="0" xfId="0" applyNumberFormat="1" applyFont="1" applyBorder="1"/>
    <xf numFmtId="261" fontId="193" fillId="0" borderId="0" xfId="0" applyNumberFormat="1" applyFont="1" applyFill="1"/>
    <xf numFmtId="2" fontId="0" fillId="0" borderId="0" xfId="0" applyNumberFormat="1"/>
    <xf numFmtId="0" fontId="195" fillId="0" borderId="8" xfId="0" applyFont="1" applyBorder="1" applyAlignment="1">
      <alignment horizontal="left"/>
    </xf>
    <xf numFmtId="0" fontId="196" fillId="0" borderId="8" xfId="0" applyFont="1" applyBorder="1" applyAlignment="1">
      <alignment horizontal="left" indent="1"/>
    </xf>
    <xf numFmtId="164" fontId="181" fillId="0" borderId="51" xfId="567" applyNumberFormat="1" applyFont="1" applyBorder="1"/>
    <xf numFmtId="0" fontId="196" fillId="0" borderId="50" xfId="0" applyFont="1" applyBorder="1" applyAlignment="1">
      <alignment horizontal="left" indent="1"/>
    </xf>
    <xf numFmtId="0" fontId="196" fillId="0" borderId="45" xfId="0" applyFont="1" applyBorder="1" applyAlignment="1">
      <alignment horizontal="left" indent="1"/>
    </xf>
    <xf numFmtId="0" fontId="197" fillId="0" borderId="46" xfId="0" applyFont="1" applyBorder="1"/>
    <xf numFmtId="0" fontId="197" fillId="0" borderId="47" xfId="0" applyFont="1" applyBorder="1" applyAlignment="1">
      <alignment horizontal="left" indent="2"/>
    </xf>
    <xf numFmtId="0" fontId="197" fillId="0" borderId="0" xfId="0" applyFont="1" applyBorder="1" applyAlignment="1">
      <alignment horizontal="left" indent="2"/>
    </xf>
    <xf numFmtId="0" fontId="196" fillId="0" borderId="58" xfId="0" applyFont="1" applyBorder="1" applyAlignment="1">
      <alignment horizontal="left" indent="1"/>
    </xf>
    <xf numFmtId="0" fontId="197" fillId="0" borderId="60" xfId="0" applyFont="1" applyBorder="1"/>
    <xf numFmtId="0" fontId="197" fillId="0" borderId="48" xfId="0" applyFont="1" applyBorder="1" applyAlignment="1">
      <alignment horizontal="left" indent="2"/>
    </xf>
    <xf numFmtId="0" fontId="197" fillId="0" borderId="31" xfId="0" applyFont="1" applyBorder="1" applyAlignment="1">
      <alignment horizontal="left" indent="2"/>
    </xf>
    <xf numFmtId="164" fontId="177" fillId="0" borderId="61" xfId="0" applyNumberFormat="1" applyFont="1" applyBorder="1"/>
    <xf numFmtId="164" fontId="177" fillId="0" borderId="62" xfId="0" applyNumberFormat="1" applyFont="1" applyBorder="1"/>
    <xf numFmtId="0" fontId="175" fillId="0" borderId="0" xfId="0" applyFont="1"/>
    <xf numFmtId="0" fontId="0" fillId="0" borderId="0" xfId="0"/>
    <xf numFmtId="164" fontId="0" fillId="0" borderId="0" xfId="0" applyNumberFormat="1" applyBorder="1"/>
    <xf numFmtId="0" fontId="0" fillId="0" borderId="0" xfId="0" applyBorder="1"/>
    <xf numFmtId="0" fontId="0" fillId="0" borderId="8" xfId="0" applyBorder="1"/>
    <xf numFmtId="0" fontId="181" fillId="0" borderId="0" xfId="0" applyFont="1" applyAlignment="1">
      <alignment horizontal="left" indent="2"/>
    </xf>
    <xf numFmtId="165" fontId="181" fillId="0" borderId="0" xfId="0" applyNumberFormat="1" applyFont="1"/>
    <xf numFmtId="9" fontId="181" fillId="0" borderId="0" xfId="0" applyNumberFormat="1" applyFont="1"/>
    <xf numFmtId="10" fontId="181" fillId="0" borderId="0" xfId="0" applyNumberFormat="1" applyFont="1"/>
    <xf numFmtId="167" fontId="181" fillId="0" borderId="0" xfId="533" applyNumberFormat="1" applyFont="1" applyAlignment="1">
      <alignment horizontal="left" indent="1"/>
    </xf>
    <xf numFmtId="10" fontId="181" fillId="0" borderId="0" xfId="834" applyNumberFormat="1" applyFont="1"/>
    <xf numFmtId="0" fontId="181" fillId="0" borderId="0" xfId="0" applyNumberFormat="1" applyFont="1"/>
    <xf numFmtId="164" fontId="181" fillId="0" borderId="63" xfId="567" applyNumberFormat="1" applyFont="1" applyBorder="1"/>
    <xf numFmtId="0" fontId="181" fillId="0" borderId="45" xfId="0" applyFont="1" applyBorder="1"/>
    <xf numFmtId="254" fontId="199" fillId="0" borderId="44" xfId="0" applyNumberFormat="1" applyFont="1" applyBorder="1"/>
    <xf numFmtId="254" fontId="174" fillId="0" borderId="44" xfId="0" applyNumberFormat="1" applyFont="1" applyBorder="1"/>
    <xf numFmtId="164" fontId="199" fillId="0" borderId="44" xfId="567" applyNumberFormat="1" applyFont="1" applyBorder="1"/>
    <xf numFmtId="164" fontId="174" fillId="0" borderId="44" xfId="567" applyNumberFormat="1" applyFont="1" applyBorder="1"/>
    <xf numFmtId="254" fontId="181" fillId="0" borderId="44" xfId="0" applyNumberFormat="1" applyFont="1" applyBorder="1"/>
    <xf numFmtId="254" fontId="0" fillId="0" borderId="44" xfId="0" applyNumberFormat="1" applyBorder="1"/>
    <xf numFmtId="164" fontId="181" fillId="0" borderId="44" xfId="0" applyNumberFormat="1" applyFont="1" applyBorder="1"/>
    <xf numFmtId="164" fontId="0" fillId="0" borderId="44" xfId="0" applyNumberFormat="1" applyBorder="1"/>
    <xf numFmtId="164" fontId="181" fillId="0" borderId="44" xfId="0" applyNumberFormat="1" applyFont="1" applyFill="1" applyBorder="1"/>
    <xf numFmtId="164" fontId="181" fillId="0" borderId="0" xfId="567" applyNumberFormat="1" applyFont="1" applyFill="1" applyBorder="1"/>
    <xf numFmtId="0" fontId="174" fillId="0" borderId="0" xfId="0" applyFont="1" applyBorder="1"/>
    <xf numFmtId="255" fontId="0" fillId="0" borderId="0" xfId="0" applyNumberFormat="1" applyBorder="1"/>
    <xf numFmtId="0" fontId="174" fillId="0" borderId="45" xfId="0" applyFont="1" applyBorder="1"/>
    <xf numFmtId="0" fontId="0" fillId="0" borderId="45" xfId="0" applyBorder="1"/>
    <xf numFmtId="0" fontId="179" fillId="0" borderId="58" xfId="0" applyFont="1" applyBorder="1" applyAlignment="1">
      <alignment horizontal="right" indent="1"/>
    </xf>
    <xf numFmtId="0" fontId="174" fillId="0" borderId="47" xfId="0" applyFont="1" applyBorder="1"/>
    <xf numFmtId="0" fontId="179" fillId="0" borderId="58" xfId="0" applyFont="1" applyFill="1" applyBorder="1" applyAlignment="1">
      <alignment horizontal="right" indent="1"/>
    </xf>
    <xf numFmtId="0" fontId="0" fillId="0" borderId="47" xfId="0" applyBorder="1"/>
    <xf numFmtId="0" fontId="178" fillId="0" borderId="58" xfId="0" applyFont="1" applyBorder="1" applyAlignment="1">
      <alignment horizontal="right" indent="1"/>
    </xf>
    <xf numFmtId="0" fontId="0" fillId="0" borderId="48" xfId="0" applyBorder="1"/>
    <xf numFmtId="0" fontId="0" fillId="0" borderId="31" xfId="0" applyBorder="1"/>
    <xf numFmtId="0" fontId="0" fillId="0" borderId="49" xfId="0" applyBorder="1"/>
    <xf numFmtId="164" fontId="181" fillId="0" borderId="45" xfId="0" applyNumberFormat="1" applyFont="1" applyBorder="1"/>
    <xf numFmtId="164" fontId="0" fillId="0" borderId="45" xfId="0" applyNumberFormat="1" applyBorder="1"/>
    <xf numFmtId="0" fontId="181" fillId="0" borderId="50" xfId="0" applyFont="1" applyBorder="1" applyAlignment="1">
      <alignment horizontal="left" indent="1"/>
    </xf>
    <xf numFmtId="168" fontId="0" fillId="0" borderId="51" xfId="0" applyNumberFormat="1" applyFill="1" applyBorder="1"/>
    <xf numFmtId="0" fontId="200" fillId="0" borderId="0" xfId="0" applyFont="1" applyBorder="1" applyAlignment="1">
      <alignment horizontal="left" indent="1"/>
    </xf>
    <xf numFmtId="164" fontId="188" fillId="0" borderId="0" xfId="567" applyNumberFormat="1" applyFont="1" applyFill="1"/>
    <xf numFmtId="9" fontId="188" fillId="0" borderId="0" xfId="0" applyNumberFormat="1" applyFont="1" applyFill="1"/>
    <xf numFmtId="164" fontId="181" fillId="0" borderId="51" xfId="0" applyNumberFormat="1" applyFont="1" applyBorder="1" applyAlignment="1"/>
    <xf numFmtId="0" fontId="0" fillId="0" borderId="51" xfId="0" applyBorder="1" applyAlignment="1"/>
    <xf numFmtId="164" fontId="0" fillId="0" borderId="56" xfId="0" applyNumberFormat="1" applyBorder="1" applyAlignment="1"/>
    <xf numFmtId="0" fontId="0" fillId="0" borderId="51" xfId="0" applyBorder="1"/>
    <xf numFmtId="0" fontId="188" fillId="0" borderId="0" xfId="0" applyFont="1" applyAlignment="1">
      <alignment horizontal="right" indent="1"/>
    </xf>
    <xf numFmtId="1" fontId="188" fillId="0" borderId="0" xfId="567" applyNumberFormat="1" applyFont="1" applyFill="1" applyAlignment="1">
      <alignment horizontal="right" indent="1"/>
    </xf>
    <xf numFmtId="0" fontId="188" fillId="0" borderId="0" xfId="0" applyNumberFormat="1" applyFont="1" applyAlignment="1">
      <alignment horizontal="right" indent="1"/>
    </xf>
    <xf numFmtId="164" fontId="181" fillId="0" borderId="51" xfId="0" applyNumberFormat="1" applyFont="1" applyBorder="1"/>
    <xf numFmtId="9" fontId="201" fillId="0" borderId="0" xfId="0" applyNumberFormat="1" applyFont="1"/>
    <xf numFmtId="0" fontId="184" fillId="92" borderId="0" xfId="0" applyFont="1" applyFill="1" applyAlignment="1"/>
    <xf numFmtId="0" fontId="185" fillId="93" borderId="0" xfId="0" applyFont="1" applyFill="1" applyAlignment="1"/>
    <xf numFmtId="0" fontId="186" fillId="94" borderId="47" xfId="0" applyFont="1" applyFill="1" applyBorder="1" applyAlignment="1">
      <alignment horizontal="left"/>
    </xf>
    <xf numFmtId="0" fontId="0" fillId="94" borderId="47" xfId="0" applyFont="1" applyFill="1" applyBorder="1" applyAlignment="1">
      <alignment horizontal="left" indent="2"/>
    </xf>
    <xf numFmtId="0" fontId="187" fillId="0" borderId="4" xfId="0" applyFont="1" applyBorder="1"/>
    <xf numFmtId="14" fontId="174" fillId="0" borderId="4" xfId="0" applyNumberFormat="1" applyFont="1" applyBorder="1"/>
    <xf numFmtId="258" fontId="174" fillId="0" borderId="4" xfId="0" applyNumberFormat="1" applyFont="1" applyBorder="1"/>
    <xf numFmtId="0" fontId="0" fillId="94" borderId="47" xfId="0" applyFill="1" applyBorder="1" applyAlignment="1">
      <alignment horizontal="left" indent="2"/>
    </xf>
    <xf numFmtId="9" fontId="188" fillId="0" borderId="0" xfId="834" applyFont="1"/>
    <xf numFmtId="6" fontId="188" fillId="0" borderId="0" xfId="0" applyNumberFormat="1" applyFont="1"/>
    <xf numFmtId="164" fontId="189" fillId="0" borderId="0" xfId="567" applyNumberFormat="1" applyFont="1" applyBorder="1"/>
    <xf numFmtId="0" fontId="0" fillId="0" borderId="0" xfId="0" applyFont="1" applyAlignment="1">
      <alignment horizontal="left" indent="2"/>
    </xf>
    <xf numFmtId="0" fontId="0" fillId="0" borderId="31" xfId="0" applyBorder="1" applyAlignment="1"/>
    <xf numFmtId="164" fontId="0" fillId="0" borderId="0" xfId="0" applyNumberFormat="1" applyBorder="1" applyAlignment="1"/>
    <xf numFmtId="0" fontId="0" fillId="0" borderId="0" xfId="0" applyBorder="1" applyAlignment="1"/>
    <xf numFmtId="0" fontId="189" fillId="0" borderId="0" xfId="0" applyFont="1"/>
    <xf numFmtId="0" fontId="188" fillId="0" borderId="8" xfId="0" applyFont="1" applyBorder="1"/>
    <xf numFmtId="164" fontId="0" fillId="0" borderId="44" xfId="0" applyNumberFormat="1" applyBorder="1" applyAlignment="1"/>
    <xf numFmtId="254" fontId="174" fillId="0" borderId="56" xfId="0" applyNumberFormat="1" applyFont="1" applyBorder="1"/>
    <xf numFmtId="0" fontId="0" fillId="0" borderId="0" xfId="0" quotePrefix="1"/>
    <xf numFmtId="0" fontId="190" fillId="92" borderId="47" xfId="0" applyFont="1" applyFill="1" applyBorder="1" applyAlignment="1"/>
    <xf numFmtId="254" fontId="0" fillId="0" borderId="44" xfId="0" applyNumberFormat="1" applyBorder="1" applyAlignment="1"/>
    <xf numFmtId="164" fontId="181" fillId="0" borderId="0" xfId="0" applyNumberFormat="1" applyFont="1" applyBorder="1" applyAlignment="1"/>
    <xf numFmtId="164" fontId="155" fillId="0" borderId="0" xfId="567" applyNumberFormat="1" applyFont="1" applyBorder="1" applyAlignment="1"/>
    <xf numFmtId="164" fontId="0" fillId="0" borderId="57" xfId="0" applyNumberFormat="1" applyBorder="1"/>
    <xf numFmtId="0" fontId="184" fillId="92" borderId="0" xfId="0" applyFont="1" applyFill="1" applyBorder="1" applyAlignment="1"/>
    <xf numFmtId="0" fontId="184" fillId="92" borderId="51" xfId="0" applyFont="1" applyFill="1" applyBorder="1" applyAlignment="1"/>
    <xf numFmtId="164" fontId="0" fillId="0" borderId="51" xfId="0" applyNumberFormat="1" applyBorder="1"/>
    <xf numFmtId="0" fontId="186" fillId="94" borderId="58" xfId="0" applyFont="1" applyFill="1" applyBorder="1" applyAlignment="1">
      <alignment horizontal="left"/>
    </xf>
    <xf numFmtId="0" fontId="0" fillId="0" borderId="7" xfId="0" applyBorder="1" applyAlignment="1"/>
    <xf numFmtId="254" fontId="0" fillId="0" borderId="0" xfId="0" applyNumberFormat="1" applyBorder="1" applyAlignment="1"/>
    <xf numFmtId="164" fontId="174" fillId="0" borderId="56" xfId="567" applyNumberFormat="1" applyFont="1" applyBorder="1"/>
    <xf numFmtId="164" fontId="181" fillId="0" borderId="64" xfId="567" applyNumberFormat="1" applyFont="1" applyBorder="1"/>
    <xf numFmtId="167" fontId="188" fillId="0" borderId="0" xfId="533" applyNumberFormat="1" applyFont="1" applyAlignment="1">
      <alignment horizontal="left" indent="1"/>
    </xf>
    <xf numFmtId="164" fontId="174" fillId="0" borderId="44" xfId="567" applyNumberFormat="1" applyFont="1" applyBorder="1" applyAlignment="1"/>
    <xf numFmtId="254" fontId="0" fillId="0" borderId="56" xfId="0" applyNumberFormat="1" applyBorder="1"/>
    <xf numFmtId="254" fontId="181" fillId="0" borderId="56" xfId="0" applyNumberFormat="1" applyFont="1" applyBorder="1"/>
    <xf numFmtId="254" fontId="174" fillId="0" borderId="44" xfId="0" applyNumberFormat="1" applyFont="1" applyBorder="1" applyAlignment="1"/>
    <xf numFmtId="254" fontId="0" fillId="0" borderId="51" xfId="0" applyNumberFormat="1" applyBorder="1"/>
    <xf numFmtId="164" fontId="191" fillId="0" borderId="0" xfId="567" quotePrefix="1" applyNumberFormat="1" applyFont="1"/>
    <xf numFmtId="255" fontId="0" fillId="0" borderId="0" xfId="0" applyNumberFormat="1" applyBorder="1" applyAlignment="1"/>
    <xf numFmtId="0" fontId="0" fillId="0" borderId="8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192" fillId="0" borderId="0" xfId="0" applyFont="1"/>
    <xf numFmtId="164" fontId="0" fillId="0" borderId="56" xfId="0" applyNumberFormat="1" applyBorder="1"/>
    <xf numFmtId="164" fontId="0" fillId="0" borderId="46" xfId="0" applyNumberFormat="1" applyBorder="1"/>
    <xf numFmtId="164" fontId="181" fillId="0" borderId="56" xfId="0" applyNumberFormat="1" applyFont="1" applyFill="1" applyBorder="1"/>
    <xf numFmtId="164" fontId="181" fillId="0" borderId="51" xfId="567" applyNumberFormat="1" applyFont="1" applyFill="1" applyBorder="1"/>
    <xf numFmtId="254" fontId="181" fillId="0" borderId="51" xfId="0" applyNumberFormat="1" applyFont="1" applyBorder="1"/>
    <xf numFmtId="253" fontId="181" fillId="0" borderId="45" xfId="0" applyNumberFormat="1" applyFont="1" applyFill="1" applyBorder="1" applyAlignment="1">
      <alignment horizontal="right"/>
    </xf>
    <xf numFmtId="253" fontId="181" fillId="0" borderId="46" xfId="0" applyNumberFormat="1" applyFont="1" applyFill="1" applyBorder="1" applyAlignment="1">
      <alignment horizontal="right"/>
    </xf>
    <xf numFmtId="0" fontId="195" fillId="0" borderId="0" xfId="0" applyFont="1"/>
    <xf numFmtId="0" fontId="195" fillId="0" borderId="0" xfId="0" applyFont="1" applyAlignment="1">
      <alignment horizontal="left"/>
    </xf>
    <xf numFmtId="164" fontId="0" fillId="0" borderId="0" xfId="0" applyNumberFormat="1"/>
    <xf numFmtId="164" fontId="155" fillId="0" borderId="0" xfId="567" applyNumberFormat="1" applyFont="1"/>
    <xf numFmtId="164" fontId="155" fillId="0" borderId="0" xfId="567" applyNumberFormat="1" applyFont="1" applyBorder="1"/>
    <xf numFmtId="254" fontId="0" fillId="0" borderId="0" xfId="0" applyNumberFormat="1" applyBorder="1"/>
    <xf numFmtId="0" fontId="0" fillId="0" borderId="8" xfId="0" applyFill="1" applyBorder="1"/>
    <xf numFmtId="0" fontId="0" fillId="0" borderId="0" xfId="0" applyBorder="1" applyAlignment="1">
      <alignment horizontal="left"/>
    </xf>
    <xf numFmtId="0" fontId="0" fillId="0" borderId="8" xfId="0" applyFill="1" applyBorder="1" applyAlignment="1">
      <alignment horizontal="right" indent="1"/>
    </xf>
    <xf numFmtId="0" fontId="0" fillId="0" borderId="8" xfId="0" applyBorder="1" applyAlignment="1">
      <alignment horizontal="right" indent="1"/>
    </xf>
    <xf numFmtId="0" fontId="0" fillId="0" borderId="0" xfId="0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0" fontId="0" fillId="0" borderId="0" xfId="0" applyAlignment="1">
      <alignment horizontal="left" indent="2"/>
    </xf>
    <xf numFmtId="0" fontId="183" fillId="0" borderId="0" xfId="0" applyFont="1" applyAlignment="1">
      <alignment horizontal="left" indent="2"/>
    </xf>
    <xf numFmtId="164" fontId="181" fillId="0" borderId="0" xfId="567" applyNumberFormat="1" applyFont="1"/>
    <xf numFmtId="0" fontId="181" fillId="0" borderId="0" xfId="0" applyFont="1" applyBorder="1"/>
    <xf numFmtId="164" fontId="181" fillId="0" borderId="0" xfId="0" applyNumberFormat="1" applyFont="1" applyBorder="1"/>
    <xf numFmtId="0" fontId="181" fillId="0" borderId="0" xfId="0" applyFont="1"/>
    <xf numFmtId="254" fontId="181" fillId="0" borderId="0" xfId="0" applyNumberFormat="1" applyFont="1" applyBorder="1"/>
    <xf numFmtId="164" fontId="181" fillId="0" borderId="0" xfId="567" applyNumberFormat="1" applyFont="1" applyBorder="1"/>
    <xf numFmtId="164" fontId="198" fillId="0" borderId="8" xfId="0" applyNumberFormat="1" applyFont="1" applyBorder="1" applyAlignment="1">
      <alignment horizontal="right" indent="1"/>
    </xf>
    <xf numFmtId="164" fontId="198" fillId="0" borderId="0" xfId="0" applyNumberFormat="1" applyFont="1" applyBorder="1" applyAlignment="1">
      <alignment horizontal="right" indent="1"/>
    </xf>
    <xf numFmtId="164" fontId="155" fillId="0" borderId="51" xfId="567" applyNumberFormat="1" applyFont="1" applyBorder="1"/>
    <xf numFmtId="0" fontId="174" fillId="0" borderId="50" xfId="0" applyFont="1" applyBorder="1"/>
    <xf numFmtId="164" fontId="191" fillId="0" borderId="0" xfId="567" applyNumberFormat="1" applyFont="1"/>
    <xf numFmtId="0" fontId="0" fillId="0" borderId="0" xfId="0" applyFill="1" applyAlignment="1">
      <alignment horizontal="left" indent="2"/>
    </xf>
    <xf numFmtId="164" fontId="181" fillId="0" borderId="0" xfId="0" applyNumberFormat="1" applyFont="1" applyFill="1" applyBorder="1"/>
    <xf numFmtId="0" fontId="193" fillId="0" borderId="0" xfId="0" applyFont="1"/>
    <xf numFmtId="0" fontId="181" fillId="0" borderId="31" xfId="0" applyFont="1" applyBorder="1"/>
    <xf numFmtId="168" fontId="0" fillId="0" borderId="0" xfId="0" applyNumberFormat="1" applyFill="1" applyBorder="1"/>
    <xf numFmtId="0" fontId="198" fillId="0" borderId="0" xfId="0" applyFont="1" applyBorder="1"/>
    <xf numFmtId="44" fontId="0" fillId="0" borderId="0" xfId="0" applyNumberFormat="1" applyBorder="1"/>
    <xf numFmtId="0" fontId="0" fillId="0" borderId="47" xfId="0" applyFill="1" applyBorder="1" applyAlignment="1">
      <alignment horizontal="left" indent="1"/>
    </xf>
    <xf numFmtId="0" fontId="0" fillId="0" borderId="47" xfId="0" applyBorder="1" applyAlignment="1">
      <alignment horizontal="left" indent="1"/>
    </xf>
    <xf numFmtId="0" fontId="0" fillId="0" borderId="47" xfId="0" applyBorder="1" applyAlignment="1">
      <alignment horizontal="left"/>
    </xf>
    <xf numFmtId="0" fontId="0" fillId="0" borderId="47" xfId="0" applyBorder="1" applyAlignment="1">
      <alignment horizontal="right" indent="1"/>
    </xf>
    <xf numFmtId="0" fontId="0" fillId="0" borderId="50" xfId="0" applyBorder="1" applyAlignment="1">
      <alignment horizontal="left" indent="1"/>
    </xf>
    <xf numFmtId="0" fontId="0" fillId="0" borderId="45" xfId="0" applyBorder="1" applyAlignment="1">
      <alignment horizontal="left" indent="1"/>
    </xf>
    <xf numFmtId="0" fontId="0" fillId="0" borderId="58" xfId="0" applyFill="1" applyBorder="1"/>
    <xf numFmtId="164" fontId="181" fillId="0" borderId="51" xfId="0" applyNumberFormat="1" applyFont="1" applyFill="1" applyBorder="1"/>
    <xf numFmtId="0" fontId="0" fillId="0" borderId="58" xfId="0" applyBorder="1"/>
    <xf numFmtId="0" fontId="0" fillId="0" borderId="50" xfId="0" applyFill="1" applyBorder="1" applyAlignment="1">
      <alignment horizontal="left" indent="1"/>
    </xf>
    <xf numFmtId="0" fontId="0" fillId="0" borderId="45" xfId="0" applyFill="1" applyBorder="1" applyAlignment="1">
      <alignment horizontal="left" indent="1"/>
    </xf>
    <xf numFmtId="0" fontId="0" fillId="0" borderId="45" xfId="0" applyFill="1" applyBorder="1"/>
    <xf numFmtId="0" fontId="0" fillId="0" borderId="46" xfId="0" applyFill="1" applyBorder="1"/>
    <xf numFmtId="164" fontId="188" fillId="0" borderId="0" xfId="0" applyNumberFormat="1" applyFont="1"/>
    <xf numFmtId="165" fontId="188" fillId="0" borderId="0" xfId="0" applyNumberFormat="1" applyFont="1"/>
    <xf numFmtId="9" fontId="188" fillId="0" borderId="0" xfId="0" applyNumberFormat="1" applyFont="1"/>
    <xf numFmtId="10" fontId="188" fillId="0" borderId="0" xfId="0" applyNumberFormat="1" applyFont="1"/>
    <xf numFmtId="164" fontId="188" fillId="0" borderId="0" xfId="567" applyNumberFormat="1" applyFont="1"/>
    <xf numFmtId="44" fontId="0" fillId="0" borderId="0" xfId="0" applyNumberFormat="1"/>
    <xf numFmtId="0" fontId="0" fillId="0" borderId="0" xfId="0" applyAlignment="1">
      <alignment horizontal="left" indent="1"/>
    </xf>
    <xf numFmtId="259" fontId="181" fillId="0" borderId="0" xfId="0" applyNumberFormat="1" applyFont="1" applyBorder="1"/>
    <xf numFmtId="260" fontId="181" fillId="0" borderId="0" xfId="0" applyNumberFormat="1" applyFont="1" applyBorder="1"/>
    <xf numFmtId="261" fontId="193" fillId="0" borderId="0" xfId="0" applyNumberFormat="1" applyFont="1" applyFill="1"/>
    <xf numFmtId="2" fontId="0" fillId="0" borderId="0" xfId="0" applyNumberFormat="1"/>
    <xf numFmtId="0" fontId="194" fillId="0" borderId="0" xfId="0" applyFont="1"/>
    <xf numFmtId="0" fontId="195" fillId="0" borderId="8" xfId="0" applyFont="1" applyBorder="1" applyAlignment="1">
      <alignment horizontal="left"/>
    </xf>
    <xf numFmtId="0" fontId="196" fillId="0" borderId="8" xfId="0" applyFont="1" applyBorder="1" applyAlignment="1">
      <alignment horizontal="left" indent="1"/>
    </xf>
    <xf numFmtId="164" fontId="181" fillId="0" borderId="51" xfId="567" applyNumberFormat="1" applyFont="1" applyBorder="1"/>
    <xf numFmtId="0" fontId="196" fillId="0" borderId="50" xfId="0" applyFont="1" applyBorder="1" applyAlignment="1">
      <alignment horizontal="left" indent="1"/>
    </xf>
    <xf numFmtId="0" fontId="196" fillId="0" borderId="45" xfId="0" applyFont="1" applyBorder="1" applyAlignment="1">
      <alignment horizontal="left" indent="1"/>
    </xf>
    <xf numFmtId="0" fontId="197" fillId="0" borderId="46" xfId="0" applyFont="1" applyBorder="1"/>
    <xf numFmtId="0" fontId="197" fillId="0" borderId="47" xfId="0" applyFont="1" applyBorder="1" applyAlignment="1">
      <alignment horizontal="left" indent="2"/>
    </xf>
    <xf numFmtId="0" fontId="197" fillId="0" borderId="0" xfId="0" applyFont="1" applyBorder="1" applyAlignment="1">
      <alignment horizontal="left" indent="2"/>
    </xf>
    <xf numFmtId="0" fontId="196" fillId="0" borderId="58" xfId="0" applyFont="1" applyBorder="1" applyAlignment="1">
      <alignment horizontal="left" indent="1"/>
    </xf>
    <xf numFmtId="0" fontId="197" fillId="0" borderId="60" xfId="0" applyFont="1" applyBorder="1"/>
    <xf numFmtId="0" fontId="197" fillId="0" borderId="48" xfId="0" applyFont="1" applyBorder="1" applyAlignment="1">
      <alignment horizontal="left" indent="2"/>
    </xf>
    <xf numFmtId="0" fontId="197" fillId="0" borderId="31" xfId="0" applyFont="1" applyBorder="1" applyAlignment="1">
      <alignment horizontal="left" indent="2"/>
    </xf>
    <xf numFmtId="164" fontId="177" fillId="0" borderId="61" xfId="0" applyNumberFormat="1" applyFont="1" applyBorder="1"/>
    <xf numFmtId="164" fontId="177" fillId="0" borderId="62" xfId="0" applyNumberFormat="1" applyFont="1" applyBorder="1"/>
    <xf numFmtId="0" fontId="175" fillId="0" borderId="0" xfId="0" applyFont="1"/>
    <xf numFmtId="164" fontId="155" fillId="0" borderId="0" xfId="567" applyNumberFormat="1" applyFont="1" applyBorder="1"/>
    <xf numFmtId="0" fontId="181" fillId="0" borderId="47" xfId="0" applyFont="1" applyBorder="1" applyAlignment="1">
      <alignment horizontal="left" indent="1"/>
    </xf>
    <xf numFmtId="0" fontId="0" fillId="0" borderId="0" xfId="0"/>
    <xf numFmtId="10" fontId="188" fillId="0" borderId="0" xfId="0" applyNumberFormat="1" applyFont="1"/>
    <xf numFmtId="44" fontId="0" fillId="0" borderId="0" xfId="0" applyNumberFormat="1"/>
    <xf numFmtId="0" fontId="152" fillId="0" borderId="0" xfId="771"/>
    <xf numFmtId="0" fontId="8" fillId="0" borderId="0" xfId="771" applyFont="1"/>
    <xf numFmtId="10" fontId="8" fillId="0" borderId="0" xfId="845" applyNumberFormat="1" applyFont="1"/>
    <xf numFmtId="10" fontId="8" fillId="0" borderId="0" xfId="845" applyNumberFormat="1" applyFont="1" applyFill="1"/>
    <xf numFmtId="0" fontId="174" fillId="0" borderId="0" xfId="0" applyFont="1"/>
    <xf numFmtId="0" fontId="174" fillId="0" borderId="0" xfId="0" applyFont="1" applyAlignment="1">
      <alignment horizontal="right"/>
    </xf>
    <xf numFmtId="44" fontId="174" fillId="0" borderId="0" xfId="0" applyNumberFormat="1" applyFont="1"/>
    <xf numFmtId="0" fontId="202" fillId="0" borderId="47" xfId="0" applyFont="1" applyBorder="1" applyAlignment="1">
      <alignment horizontal="left"/>
    </xf>
    <xf numFmtId="0" fontId="202" fillId="0" borderId="0" xfId="0" applyFont="1" applyBorder="1" applyAlignment="1">
      <alignment horizontal="left"/>
    </xf>
    <xf numFmtId="0" fontId="178" fillId="0" borderId="0" xfId="0" applyFont="1" applyBorder="1" applyAlignment="1">
      <alignment horizontal="right"/>
    </xf>
    <xf numFmtId="0" fontId="203" fillId="0" borderId="0" xfId="0" applyFont="1" applyBorder="1" applyAlignment="1">
      <alignment horizontal="left" wrapText="1"/>
    </xf>
    <xf numFmtId="0" fontId="179" fillId="0" borderId="0" xfId="0" applyFont="1" applyBorder="1" applyAlignment="1">
      <alignment horizontal="left" wrapText="1"/>
    </xf>
  </cellXfs>
  <cellStyles count="1004">
    <cellStyle name="_x0013_" xfId="1"/>
    <cellStyle name=" 1" xfId="2"/>
    <cellStyle name="_x000d__x000a_JournalTemplate=C:\COMFO\CTALK\JOURSTD.TPL_x000d__x000a_LbStateAddress=3 3 0 251 1 89 2 311_x000d__x000a_LbStateJou" xfId="3"/>
    <cellStyle name="_x000d__x000a_JournalTemplate=C:\COMFO\CTALK\JOURSTD.TPL_x000d__x000a_LbStateAddress=3 3 0 251 1 89 2 311_x000d__x000a_LbStateJou 18" xfId="4"/>
    <cellStyle name="*MB Hardwired" xfId="5"/>
    <cellStyle name="*MB Input Table Calc" xfId="6"/>
    <cellStyle name="*MB Normal" xfId="7"/>
    <cellStyle name="*MB Normal 2" xfId="8"/>
    <cellStyle name="*MB Placeholder" xfId="9"/>
    <cellStyle name="???" xfId="10"/>
    <cellStyle name="__ [0]___" xfId="11"/>
    <cellStyle name="__ [0]____" xfId="12"/>
    <cellStyle name="__ [0]______" xfId="13"/>
    <cellStyle name="__ [0]__________" xfId="14"/>
    <cellStyle name="__ [0]___________EWC 43.5MW8oMtresc 3_25_021" xfId="15"/>
    <cellStyle name="__ [0]___________EWC 43.5MW8oMtresc 3_25_02v2" xfId="16"/>
    <cellStyle name="__ [0]___________EWC 43.5MW8oMtresc 3_25_02v2w_esc" xfId="17"/>
    <cellStyle name="__ [0]___________Wind farm - operation CF" xfId="18"/>
    <cellStyle name="__ [0]_______EWC 43.5MW8oMtresc 3_25_021" xfId="19"/>
    <cellStyle name="__ [0]_______EWC 43.5MW8oMtresc 3_25_02v2" xfId="20"/>
    <cellStyle name="__ [0]_______EWC 43.5MW8oMtresc 3_25_02v2w_esc" xfId="21"/>
    <cellStyle name="__ [0]_______Wind farm - operation CF" xfId="22"/>
    <cellStyle name="__ [0]_____EWC 43.5MW8oMtresc 3_25_021" xfId="23"/>
    <cellStyle name="__ [0]_____EWC 43.5MW8oMtresc 3_25_02v2" xfId="24"/>
    <cellStyle name="__ [0]_____EWC 43.5MW8oMtresc 3_25_02v2w_esc" xfId="25"/>
    <cellStyle name="__ [0]_____Wind farm - operation CF" xfId="26"/>
    <cellStyle name="__ [0]____EWC 43.5MW8oMtresc 3_25_021" xfId="27"/>
    <cellStyle name="__ [0]____EWC 43.5MW8oMtresc 3_25_02v2" xfId="28"/>
    <cellStyle name="__ [0]____EWC 43.5MW8oMtresc 3_25_02v2w_esc" xfId="29"/>
    <cellStyle name="__ [0]____Wind farm - operation CF" xfId="30"/>
    <cellStyle name="__ [0]_94___" xfId="31"/>
    <cellStyle name="__ [0]_94____EWC 43.5MW8oMtresc 3_25_021" xfId="32"/>
    <cellStyle name="__ [0]_94____EWC 43.5MW8oMtresc 3_25_02v2" xfId="33"/>
    <cellStyle name="__ [0]_94____EWC 43.5MW8oMtresc 3_25_02v2w_esc" xfId="34"/>
    <cellStyle name="__ [0]_94____Wind farm - operation CF" xfId="35"/>
    <cellStyle name="__ [0]_dimon" xfId="36"/>
    <cellStyle name="__ [0]_form" xfId="37"/>
    <cellStyle name="__ [0]_form_EWC 43.5MW8oMtresc 3_25_021" xfId="38"/>
    <cellStyle name="__ [0]_form_EWC 43.5MW8oMtresc 3_25_02v2" xfId="39"/>
    <cellStyle name="__ [0]_form_EWC 43.5MW8oMtresc 3_25_02v2w_esc" xfId="40"/>
    <cellStyle name="__ [0]_form_Wind farm - operation CF" xfId="41"/>
    <cellStyle name="__ [0]_laroux" xfId="42"/>
    <cellStyle name="__ [0]_laroux_1" xfId="43"/>
    <cellStyle name="__ [0]_laroux_1_EWC 43.5MW8oMtresc 3_25_021" xfId="44"/>
    <cellStyle name="__ [0]_laroux_1_EWC 43.5MW8oMtresc 3_25_02v2" xfId="45"/>
    <cellStyle name="__ [0]_laroux_1_EWC 43.5MW8oMtresc 3_25_02v2w_esc" xfId="46"/>
    <cellStyle name="__ [0]_laroux_1_Wind farm - operation CF" xfId="47"/>
    <cellStyle name="__ [0]_laroux_2" xfId="48"/>
    <cellStyle name="__ [0]_laroux_EWC 43.5MW8oMtresc 3_25_021" xfId="49"/>
    <cellStyle name="__ [0]_laroux_EWC 43.5MW8oMtresc 3_25_021_1" xfId="50"/>
    <cellStyle name="__ [0]_laroux_EWC 43.5MW8oMtresc 3_25_02v2" xfId="51"/>
    <cellStyle name="__ [0]_laroux_EWC 43.5MW8oMtresc 3_25_02v2w_esc" xfId="52"/>
    <cellStyle name="__ [0]_laroux_Wind farm - operation CF" xfId="53"/>
    <cellStyle name="__ [0]_PERSONAL" xfId="54"/>
    <cellStyle name="__ [0]_PERSONAL_1" xfId="55"/>
    <cellStyle name="__ [0]_PERSONAL_1_EWC 43.5MW8oMtresc 3_25_021" xfId="56"/>
    <cellStyle name="__ [0]_PERSONAL_1_EWC 43.5MW8oMtresc 3_25_02v2" xfId="57"/>
    <cellStyle name="__ [0]_PERSONAL_1_EWC 43.5MW8oMtresc 3_25_02v2w_esc" xfId="58"/>
    <cellStyle name="__ [0]_PERSONAL_1_Wind farm - operation CF" xfId="59"/>
    <cellStyle name="__ [0]_PERSONAL_2" xfId="60"/>
    <cellStyle name="__ [0]_PERSONAL_2_EWC 43.5MW8oMtresc 3_25_021" xfId="61"/>
    <cellStyle name="__ [0]_PERSONAL_2_EWC 43.5MW8oMtresc 3_25_02v2" xfId="62"/>
    <cellStyle name="__ [0]_PERSONAL_2_EWC 43.5MW8oMtresc 3_25_02v2w_esc" xfId="63"/>
    <cellStyle name="__ [0]_PERSONAL_2_Wind farm - operation CF" xfId="64"/>
    <cellStyle name="__ [0]_PERSONAL_3" xfId="65"/>
    <cellStyle name="__ [0]_PERSONAL_EWC 43.5MW8oMtresc 3_25_021" xfId="66"/>
    <cellStyle name="__ [0]_PERSONAL_EWC 43.5MW8oMtresc 3_25_02v2" xfId="67"/>
    <cellStyle name="__ [0]_PERSONAL_EWC 43.5MW8oMtresc 3_25_02v2w_esc" xfId="68"/>
    <cellStyle name="__ [0]_PERSONAL_EWC 43.5MW8oMtresc 3_25_02v2w_esc_1" xfId="69"/>
    <cellStyle name="__ [0]_PERSONAL_Wind farm - operation CF" xfId="70"/>
    <cellStyle name="__ [0]_Sheet2" xfId="71"/>
    <cellStyle name="____.____" xfId="72"/>
    <cellStyle name="____._____New England Budgets Mar 14" xfId="73"/>
    <cellStyle name="_____" xfId="74"/>
    <cellStyle name="______" xfId="75"/>
    <cellStyle name="_______" xfId="76"/>
    <cellStyle name="________" xfId="77"/>
    <cellStyle name="__________" xfId="78"/>
    <cellStyle name="____________" xfId="79"/>
    <cellStyle name="_____________EWC 43.5MW8oMtresc 3_25_021" xfId="80"/>
    <cellStyle name="_____________EWC 43.5MW8oMtresc 3_25_021_1" xfId="81"/>
    <cellStyle name="_____________EWC 43.5MW8oMtresc 3_25_021_New England Budgets Mar 14" xfId="82"/>
    <cellStyle name="_____________EWC 43.5MW8oMtresc 3_25_02v2" xfId="83"/>
    <cellStyle name="_____________EWC 43.5MW8oMtresc 3_25_02v2_1" xfId="84"/>
    <cellStyle name="_____________EWC 43.5MW8oMtresc 3_25_02v2w_esc" xfId="85"/>
    <cellStyle name="_____________EWC 43.5MW8oMtresc 3_25_02v2w_esc_1" xfId="86"/>
    <cellStyle name="_____________Wind farm - operation CF" xfId="87"/>
    <cellStyle name="_____________Wind farm - operation CF_1" xfId="88"/>
    <cellStyle name="_____________Wind farm - operation CF_New England Budgets Mar 14" xfId="89"/>
    <cellStyle name="___________EWC 43.5MW8oMtresc 3_25_021" xfId="90"/>
    <cellStyle name="___________EWC 43.5MW8oMtresc 3_25_021_New England Budgets Mar 14" xfId="91"/>
    <cellStyle name="___________EWC 43.5MW8oMtresc 3_25_02v2" xfId="92"/>
    <cellStyle name="___________EWC 43.5MW8oMtresc 3_25_02v2_New England Budgets Mar 14" xfId="93"/>
    <cellStyle name="___________EWC 43.5MW8oMtresc 3_25_02v2w_esc" xfId="94"/>
    <cellStyle name="___________EWC 43.5MW8oMtresc 3_25_02v2w_esc_New England Budgets Mar 14" xfId="95"/>
    <cellStyle name="___________New England Budgets Mar 14" xfId="96"/>
    <cellStyle name="___________Wind farm - operation CF" xfId="97"/>
    <cellStyle name="___________Wind farm - operation CF_New England Budgets Mar 14" xfId="98"/>
    <cellStyle name="_________1" xfId="99"/>
    <cellStyle name="_________1_New England Budgets Mar 14" xfId="100"/>
    <cellStyle name="_________2" xfId="101"/>
    <cellStyle name="_________2_New England Budgets Mar 14" xfId="102"/>
    <cellStyle name="_________EWC 43.5MW8oMtresc 3_25_021" xfId="103"/>
    <cellStyle name="_________EWC 43.5MW8oMtresc 3_25_021_1" xfId="104"/>
    <cellStyle name="_________EWC 43.5MW8oMtresc 3_25_021_1_New England Budgets Mar 14" xfId="105"/>
    <cellStyle name="_________EWC 43.5MW8oMtresc 3_25_02v2" xfId="106"/>
    <cellStyle name="_________EWC 43.5MW8oMtresc 3_25_02v2_1" xfId="107"/>
    <cellStyle name="_________EWC 43.5MW8oMtresc 3_25_02v2w_esc" xfId="108"/>
    <cellStyle name="_________EWC 43.5MW8oMtresc 3_25_02v2w_esc_1" xfId="109"/>
    <cellStyle name="_________EWC 43.5MW8oMtresc 3_25_02v2w_esc_New England Budgets Mar 14" xfId="110"/>
    <cellStyle name="_________New England Budgets Mar 14" xfId="111"/>
    <cellStyle name="_________Wind farm - operation CF" xfId="112"/>
    <cellStyle name="_________Wind farm - operation CF_1" xfId="113"/>
    <cellStyle name="________1" xfId="114"/>
    <cellStyle name="________1_New England Budgets Mar 14" xfId="115"/>
    <cellStyle name="________New England Budgets Mar 14" xfId="116"/>
    <cellStyle name="_______EWC 43.5MW8oMtresc 3_25_021" xfId="117"/>
    <cellStyle name="_______EWC 43.5MW8oMtresc 3_25_021_1" xfId="118"/>
    <cellStyle name="_______EWC 43.5MW8oMtresc 3_25_02v2" xfId="119"/>
    <cellStyle name="_______EWC 43.5MW8oMtresc 3_25_02v2_1" xfId="120"/>
    <cellStyle name="_______EWC 43.5MW8oMtresc 3_25_02v2_2" xfId="121"/>
    <cellStyle name="_______EWC 43.5MW8oMtresc 3_25_02v2_2_New England Budgets Mar 14" xfId="122"/>
    <cellStyle name="_______EWC 43.5MW8oMtresc 3_25_02v2w_esc" xfId="123"/>
    <cellStyle name="_______EWC 43.5MW8oMtresc 3_25_02v2w_esc_1" xfId="124"/>
    <cellStyle name="_______EWC 43.5MW8oMtresc 3_25_02v2w_esc_2" xfId="125"/>
    <cellStyle name="_______EWC 43.5MW8oMtresc 3_25_02v2w_esc_New England Budgets Mar 14" xfId="126"/>
    <cellStyle name="_______New England Budgets Mar 14" xfId="127"/>
    <cellStyle name="_______Wind farm - operation CF" xfId="128"/>
    <cellStyle name="_______Wind farm - operation CF_1" xfId="129"/>
    <cellStyle name="______1" xfId="130"/>
    <cellStyle name="______1_New England Budgets Mar 14" xfId="131"/>
    <cellStyle name="______EWC 43.5MW8oMtresc 3_25_021" xfId="132"/>
    <cellStyle name="______EWC 43.5MW8oMtresc 3_25_021_1" xfId="133"/>
    <cellStyle name="______EWC 43.5MW8oMtresc 3_25_021_1_New England Budgets Mar 14" xfId="134"/>
    <cellStyle name="______EWC 43.5MW8oMtresc 3_25_021_2" xfId="135"/>
    <cellStyle name="______EWC 43.5MW8oMtresc 3_25_021_2_New England Budgets Mar 14" xfId="136"/>
    <cellStyle name="______EWC 43.5MW8oMtresc 3_25_02v2" xfId="137"/>
    <cellStyle name="______EWC 43.5MW8oMtresc 3_25_02v2_1" xfId="138"/>
    <cellStyle name="______EWC 43.5MW8oMtresc 3_25_02v2w_esc" xfId="139"/>
    <cellStyle name="______EWC 43.5MW8oMtresc 3_25_02v2w_esc_1" xfId="140"/>
    <cellStyle name="______EWC 43.5MW8oMtresc 3_25_02v2w_esc_2" xfId="141"/>
    <cellStyle name="______EWC 43.5MW8oMtresc 3_25_02v2w_esc_2_New England Budgets Mar 14" xfId="142"/>
    <cellStyle name="______EWC 43.5MW8oMtresc 3_25_02v2w_esc_3" xfId="143"/>
    <cellStyle name="______EWC 43.5MW8oMtresc 3_25_02v2w_esc_New England Budgets Mar 14" xfId="144"/>
    <cellStyle name="______New England Budgets Mar 14" xfId="145"/>
    <cellStyle name="______Wind farm - operation CF" xfId="146"/>
    <cellStyle name="______Wind farm - operation CF_1" xfId="147"/>
    <cellStyle name="______Wind farm - operation CF_2" xfId="148"/>
    <cellStyle name="______Wind farm - operation CF_New England Budgets Mar 14" xfId="149"/>
    <cellStyle name="___94___" xfId="150"/>
    <cellStyle name="___94____EWC 43.5MW8oMtresc 3_25_021" xfId="151"/>
    <cellStyle name="___94____EWC 43.5MW8oMtresc 3_25_021_1" xfId="152"/>
    <cellStyle name="___94____EWC 43.5MW8oMtresc 3_25_02v2" xfId="153"/>
    <cellStyle name="___94____EWC 43.5MW8oMtresc 3_25_02v2w_esc" xfId="154"/>
    <cellStyle name="___94____Wind farm - operation CF" xfId="155"/>
    <cellStyle name="___97___" xfId="156"/>
    <cellStyle name="___97____New England Budgets Mar 14" xfId="157"/>
    <cellStyle name="___970120" xfId="158"/>
    <cellStyle name="___BEBU_GI" xfId="159"/>
    <cellStyle name="___BEBU_GI_New England Budgets Mar 14" xfId="160"/>
    <cellStyle name="___dimon" xfId="161"/>
    <cellStyle name="___dimon_EWC 43.5MW8oMtresc 3_25_021" xfId="162"/>
    <cellStyle name="___dimon_EWC 43.5MW8oMtresc 3_25_021_New England Budgets Mar 14" xfId="163"/>
    <cellStyle name="___dimon_EWC 43.5MW8oMtresc 3_25_02v2" xfId="164"/>
    <cellStyle name="___dimon_EWC 43.5MW8oMtresc 3_25_02v2_New England Budgets Mar 14" xfId="165"/>
    <cellStyle name="___dimon_EWC 43.5MW8oMtresc 3_25_02v2w_esc" xfId="166"/>
    <cellStyle name="___dimon_New England Budgets Mar 14" xfId="167"/>
    <cellStyle name="___dimon_Wind farm - operation CF" xfId="168"/>
    <cellStyle name="___form" xfId="169"/>
    <cellStyle name="___form_EWC 43.5MW8oMtresc 3_25_021" xfId="170"/>
    <cellStyle name="___form_EWC 43.5MW8oMtresc 3_25_021_1" xfId="171"/>
    <cellStyle name="___form_EWC 43.5MW8oMtresc 3_25_021_New England Budgets Mar 14" xfId="172"/>
    <cellStyle name="___form_EWC 43.5MW8oMtresc 3_25_02v2" xfId="173"/>
    <cellStyle name="___form_EWC 43.5MW8oMtresc 3_25_02v2_1" xfId="174"/>
    <cellStyle name="___form_EWC 43.5MW8oMtresc 3_25_02v2w_esc" xfId="175"/>
    <cellStyle name="___form_Wind farm - operation CF" xfId="176"/>
    <cellStyle name="___form_Wind farm - operation CF_1" xfId="177"/>
    <cellStyle name="___form_Wind farm - operation CF_1_New England Budgets Mar 14" xfId="178"/>
    <cellStyle name="___ga_PB" xfId="179"/>
    <cellStyle name="___ga_PB_New England Budgets Mar 14" xfId="180"/>
    <cellStyle name="___laroux" xfId="181"/>
    <cellStyle name="___laroux_1" xfId="182"/>
    <cellStyle name="___laroux_1_EWC 43.5MW8oMtresc 3_25_021" xfId="183"/>
    <cellStyle name="___laroux_1_EWC 43.5MW8oMtresc 3_25_021_1" xfId="184"/>
    <cellStyle name="___laroux_1_EWC 43.5MW8oMtresc 3_25_021_2" xfId="185"/>
    <cellStyle name="___laroux_1_EWC 43.5MW8oMtresc 3_25_021_2_New England Budgets Mar 14" xfId="186"/>
    <cellStyle name="___laroux_1_EWC 43.5MW8oMtresc 3_25_02v2" xfId="187"/>
    <cellStyle name="___laroux_1_EWC 43.5MW8oMtresc 3_25_02v2_1" xfId="188"/>
    <cellStyle name="___laroux_1_EWC 43.5MW8oMtresc 3_25_02v2w_esc" xfId="189"/>
    <cellStyle name="___laroux_1_EWC 43.5MW8oMtresc 3_25_02v2w_esc_1" xfId="190"/>
    <cellStyle name="___laroux_1_EWC 43.5MW8oMtresc 3_25_02v2w_esc_1_New England Budgets Mar 14" xfId="191"/>
    <cellStyle name="___laroux_1_EWC 43.5MW8oMtresc 3_25_02v2w_esc_2" xfId="192"/>
    <cellStyle name="___laroux_1_New England Budgets Mar 14" xfId="193"/>
    <cellStyle name="___laroux_1_Wind farm - operation CF" xfId="194"/>
    <cellStyle name="___laroux_1_Wind farm - operation CF_1" xfId="195"/>
    <cellStyle name="___laroux_2" xfId="196"/>
    <cellStyle name="___laroux_2_EWC 43.5MW8oMtresc 3_25_021" xfId="197"/>
    <cellStyle name="___laroux_2_EWC 43.5MW8oMtresc 3_25_021_1" xfId="198"/>
    <cellStyle name="___laroux_2_EWC 43.5MW8oMtresc 3_25_021_1_New England Budgets Mar 14" xfId="199"/>
    <cellStyle name="___laroux_2_EWC 43.5MW8oMtresc 3_25_02v2" xfId="200"/>
    <cellStyle name="___laroux_2_EWC 43.5MW8oMtresc 3_25_02v2_New England Budgets Mar 14" xfId="201"/>
    <cellStyle name="___laroux_2_EWC 43.5MW8oMtresc 3_25_02v2w_esc" xfId="202"/>
    <cellStyle name="___laroux_2_EWC 43.5MW8oMtresc 3_25_02v2w_esc_1" xfId="203"/>
    <cellStyle name="___laroux_2_EWC 43.5MW8oMtresc 3_25_02v2w_esc_New England Budgets Mar 14" xfId="204"/>
    <cellStyle name="___laroux_2_New England Budgets Mar 14" xfId="205"/>
    <cellStyle name="___laroux_2_Wind farm - operation CF" xfId="206"/>
    <cellStyle name="___laroux_3" xfId="207"/>
    <cellStyle name="___laroux_3_New England Budgets Mar 14" xfId="208"/>
    <cellStyle name="___laroux_4" xfId="209"/>
    <cellStyle name="___laroux_4_New England Budgets Mar 14" xfId="210"/>
    <cellStyle name="___laroux_5" xfId="211"/>
    <cellStyle name="___laroux_6" xfId="212"/>
    <cellStyle name="___laroux_6_New England Budgets Mar 14" xfId="213"/>
    <cellStyle name="___laroux_7" xfId="214"/>
    <cellStyle name="___laroux_7_New England Budgets Mar 14" xfId="215"/>
    <cellStyle name="___laroux_8" xfId="216"/>
    <cellStyle name="___laroux_8_New England Budgets Mar 14" xfId="217"/>
    <cellStyle name="___laroux_EWC 43.5MW8oMtresc 3_25_021" xfId="218"/>
    <cellStyle name="___laroux_EWC 43.5MW8oMtresc 3_25_021_1" xfId="219"/>
    <cellStyle name="___laroux_EWC 43.5MW8oMtresc 3_25_021_New England Budgets Mar 14" xfId="220"/>
    <cellStyle name="___laroux_EWC 43.5MW8oMtresc 3_25_02v2" xfId="221"/>
    <cellStyle name="___laroux_EWC 43.5MW8oMtresc 3_25_02v2_1" xfId="222"/>
    <cellStyle name="___laroux_EWC 43.5MW8oMtresc 3_25_02v2_1_New England Budgets Mar 14" xfId="223"/>
    <cellStyle name="___laroux_EWC 43.5MW8oMtresc 3_25_02v2_2" xfId="224"/>
    <cellStyle name="___laroux_EWC 43.5MW8oMtresc 3_25_02v2w_esc" xfId="225"/>
    <cellStyle name="___laroux_EWC 43.5MW8oMtresc 3_25_02v2w_esc_1" xfId="226"/>
    <cellStyle name="___laroux_EWC 43.5MW8oMtresc 3_25_02v2w_esc_1_New England Budgets Mar 14" xfId="227"/>
    <cellStyle name="___laroux_Wind farm - operation CF" xfId="228"/>
    <cellStyle name="___laroux_Wind farm - operation CF_1" xfId="229"/>
    <cellStyle name="___laroux_Wind farm - operation CF_1_New England Budgets Mar 14" xfId="230"/>
    <cellStyle name="___PERSONAL" xfId="231"/>
    <cellStyle name="___PERSONAL_1" xfId="232"/>
    <cellStyle name="___PERSONAL_1_EWC 43.5MW8oMtresc 3_25_021" xfId="233"/>
    <cellStyle name="___PERSONAL_1_EWC 43.5MW8oMtresc 3_25_021_1" xfId="234"/>
    <cellStyle name="___PERSONAL_1_EWC 43.5MW8oMtresc 3_25_021_New England Budgets Mar 14" xfId="235"/>
    <cellStyle name="___PERSONAL_1_EWC 43.5MW8oMtresc 3_25_02v2" xfId="236"/>
    <cellStyle name="___PERSONAL_1_EWC 43.5MW8oMtresc 3_25_02v2_1" xfId="237"/>
    <cellStyle name="___PERSONAL_1_EWC 43.5MW8oMtresc 3_25_02v2_2" xfId="238"/>
    <cellStyle name="___PERSONAL_1_EWC 43.5MW8oMtresc 3_25_02v2_New England Budgets Mar 14" xfId="239"/>
    <cellStyle name="___PERSONAL_1_EWC 43.5MW8oMtresc 3_25_02v2w_esc" xfId="240"/>
    <cellStyle name="___PERSONAL_1_EWC 43.5MW8oMtresc 3_25_02v2w_esc_1" xfId="241"/>
    <cellStyle name="___PERSONAL_1_Wind farm - operation CF" xfId="242"/>
    <cellStyle name="___PERSONAL_1_Wind farm - operation CF_1" xfId="243"/>
    <cellStyle name="___PERSONAL_1_Wind farm - operation CF_New England Budgets Mar 14" xfId="244"/>
    <cellStyle name="___PERSONAL_2" xfId="245"/>
    <cellStyle name="___PERSONAL_2_EWC 43.5MW8oMtresc 3_25_021" xfId="246"/>
    <cellStyle name="___PERSONAL_2_EWC 43.5MW8oMtresc 3_25_021_1" xfId="247"/>
    <cellStyle name="___PERSONAL_2_EWC 43.5MW8oMtresc 3_25_021_1_New England Budgets Mar 14" xfId="248"/>
    <cellStyle name="___PERSONAL_2_EWC 43.5MW8oMtresc 3_25_02v2" xfId="249"/>
    <cellStyle name="___PERSONAL_2_EWC 43.5MW8oMtresc 3_25_02v2w_esc" xfId="250"/>
    <cellStyle name="___PERSONAL_2_EWC 43.5MW8oMtresc 3_25_02v2w_esc_1" xfId="251"/>
    <cellStyle name="___PERSONAL_2_EWC 43.5MW8oMtresc 3_25_02v2w_esc_New England Budgets Mar 14" xfId="252"/>
    <cellStyle name="___PERSONAL_2_New England Budgets Mar 14" xfId="253"/>
    <cellStyle name="___PERSONAL_2_Wind farm - operation CF" xfId="254"/>
    <cellStyle name="___PERSONAL_2_Wind farm - operation CF_1" xfId="255"/>
    <cellStyle name="___PERSONAL_3" xfId="256"/>
    <cellStyle name="___PERSONAL_3_EWC 43.5MW8oMtresc 3_25_021" xfId="257"/>
    <cellStyle name="___PERSONAL_3_EWC 43.5MW8oMtresc 3_25_021_New England Budgets Mar 14" xfId="258"/>
    <cellStyle name="___PERSONAL_3_EWC 43.5MW8oMtresc 3_25_02v2" xfId="259"/>
    <cellStyle name="___PERSONAL_3_EWC 43.5MW8oMtresc 3_25_02v2_New England Budgets Mar 14" xfId="260"/>
    <cellStyle name="___PERSONAL_3_EWC 43.5MW8oMtresc 3_25_02v2w_esc" xfId="261"/>
    <cellStyle name="___PERSONAL_3_EWC 43.5MW8oMtresc 3_25_02v2w_esc_1" xfId="262"/>
    <cellStyle name="___PERSONAL_3_EWC 43.5MW8oMtresc 3_25_02v2w_esc_New England Budgets Mar 14" xfId="263"/>
    <cellStyle name="___PERSONAL_3_New England Budgets Mar 14" xfId="264"/>
    <cellStyle name="___PERSONAL_3_Wind farm - operation CF" xfId="265"/>
    <cellStyle name="___PERSONAL_4" xfId="266"/>
    <cellStyle name="___PERSONAL_4_New England Budgets Mar 14" xfId="267"/>
    <cellStyle name="___PERSONAL_EWC 43.5MW8oMtresc 3_25_021" xfId="268"/>
    <cellStyle name="___PERSONAL_EWC 43.5MW8oMtresc 3_25_02v2" xfId="269"/>
    <cellStyle name="___PERSONAL_EWC 43.5MW8oMtresc 3_25_02v2_1" xfId="270"/>
    <cellStyle name="___PERSONAL_EWC 43.5MW8oMtresc 3_25_02v2w_esc" xfId="271"/>
    <cellStyle name="___PERSONAL_EWC 43.5MW8oMtresc 3_25_02v2w_esc_1" xfId="272"/>
    <cellStyle name="___PERSONAL_Wind farm - operation CF" xfId="273"/>
    <cellStyle name="___PERSONAL_Wind farm - operation CF_1" xfId="274"/>
    <cellStyle name="___Query11" xfId="275"/>
    <cellStyle name="___Query11_New England Budgets Mar 14" xfId="276"/>
    <cellStyle name="___Sheet1" xfId="277"/>
    <cellStyle name="___Sheet1 (2)" xfId="278"/>
    <cellStyle name="___Sheet1 (2)_New England Budgets Mar 14" xfId="279"/>
    <cellStyle name="___Sheet1_New England Budgets Mar 14" xfId="280"/>
    <cellStyle name="___Sheet2" xfId="281"/>
    <cellStyle name="___Sheet2_EWC 43.5MW8oMtresc 3_25_021" xfId="282"/>
    <cellStyle name="___Sheet2_EWC 43.5MW8oMtresc 3_25_021_1" xfId="283"/>
    <cellStyle name="___Sheet2_EWC 43.5MW8oMtresc 3_25_021_1_New England Budgets Mar 14" xfId="284"/>
    <cellStyle name="___Sheet2_EWC 43.5MW8oMtresc 3_25_02v2" xfId="285"/>
    <cellStyle name="___Sheet2_EWC 43.5MW8oMtresc 3_25_02v2_1" xfId="286"/>
    <cellStyle name="___Sheet2_EWC 43.5MW8oMtresc 3_25_02v2_1_New England Budgets Mar 14" xfId="287"/>
    <cellStyle name="___Sheet2_EWC 43.5MW8oMtresc 3_25_02v2w_esc" xfId="288"/>
    <cellStyle name="___Sheet2_New England Budgets Mar 14" xfId="289"/>
    <cellStyle name="___Sheet2_Wind farm - operation CF" xfId="290"/>
    <cellStyle name="_2007 Budget 2-22-2007" xfId="291"/>
    <cellStyle name="_2008 Budgets draft 10-27 Woods" xfId="292"/>
    <cellStyle name="_AGC 2005 NAES Draft 111104-dd" xfId="293"/>
    <cellStyle name="_AnnualData" xfId="294"/>
    <cellStyle name="_AppendixH1_OfferDataFormPPA" xfId="295"/>
    <cellStyle name="_AppendixH1_OfferDataFormPPA 2" xfId="296"/>
    <cellStyle name="_AppendixH1_OfferDataFormPPA 3" xfId="297"/>
    <cellStyle name="_Asset Mngmnt 20 yr projection2-20-07" xfId="298"/>
    <cellStyle name="_Assumptions" xfId="299"/>
    <cellStyle name="_Athens Assumptions 2005" xfId="300"/>
    <cellStyle name="_Book2" xfId="301"/>
    <cellStyle name="_Book2_1" xfId="302"/>
    <cellStyle name="_Chat &amp; Brandon Jan Report" xfId="303"/>
    <cellStyle name="_compare2" xfId="304"/>
    <cellStyle name="_Compiled Alt Clint Ellen Bliss Wfield Chat Chrry Cntvl Budgets 11-6-06 match to capital budget" xfId="305"/>
    <cellStyle name="_Compiled Noble Development Budget All Projects rev 11-30-06" xfId="306"/>
    <cellStyle name="_Compiled Noble Development Budget All Projects rev 12-1-06" xfId="307"/>
    <cellStyle name="_Construction Financing" xfId="308"/>
    <cellStyle name="_Copy of Construction Budget Overview - 9 18 07" xfId="309"/>
    <cellStyle name="_Danbury" xfId="310"/>
    <cellStyle name="_Danbury - ICF" xfId="311"/>
    <cellStyle name="_Danbury - ICF_CPV Thermal - Danbury" xfId="312"/>
    <cellStyle name="_Danbury_CPV Thermal - Danbury" xfId="313"/>
    <cellStyle name="_Economics" xfId="314"/>
    <cellStyle name="_FRWF 2009 Operating Budget" xfId="315"/>
    <cellStyle name="_Inputs" xfId="316"/>
    <cellStyle name="_John Corum Copy of 2007 EG Template" xfId="317"/>
    <cellStyle name="_JPMP PAPS Clinton Model -- 27 April 2005" xfId="318"/>
    <cellStyle name="_JPMP waterfall 5-1-06_x" xfId="319"/>
    <cellStyle name="_MPP 2005 NAES Final Budget" xfId="320"/>
    <cellStyle name="_MSA Budget 2007 rev11-21-06" xfId="321"/>
    <cellStyle name="_MSA Budget 2007 rev11-6-06" xfId="322"/>
    <cellStyle name="_NA-Grid 1006v2 (2)" xfId="323"/>
    <cellStyle name="_NE Budgets" xfId="324"/>
    <cellStyle name="_Project Budget Templates Combo rev 2" xfId="325"/>
    <cellStyle name="_Project Orchid 020707" xfId="326"/>
    <cellStyle name="_Proposed Wfield Chat Chrry Cntvl Budgets history compared rev 10-31-06rev1" xfId="327"/>
    <cellStyle name="_Regional" xfId="328"/>
    <cellStyle name="_Revised PA IHR_Dinesh_Seb" xfId="329"/>
    <cellStyle name="_Revised PA IHR_Dinesh_Seb_CPV Thermal - Danbury" xfId="330"/>
    <cellStyle name="_Rigel 112106 Base Case $132m" xfId="331"/>
    <cellStyle name="_Sentinel Summary_Challenger (2)" xfId="332"/>
    <cellStyle name="_Sheet1" xfId="333"/>
    <cellStyle name="_Sheet1_AnnualData" xfId="334"/>
    <cellStyle name="_Sheet2" xfId="335"/>
    <cellStyle name="_Sherbino 20070618" xfId="336"/>
    <cellStyle name="_Sherbino 20070620" xfId="337"/>
    <cellStyle name="_Sherbino Pro Forma sd" xfId="338"/>
    <cellStyle name="_SoleOwner" xfId="339"/>
    <cellStyle name="_St Charles 8-12-08" xfId="340"/>
    <cellStyle name="_St.Charles" xfId="341"/>
    <cellStyle name="_Thumb Budget 5-30-06" xfId="342"/>
    <cellStyle name="_Vacaville_total-IDE - ICF" xfId="343"/>
    <cellStyle name="_Vacaville_total-IDE - ICF 2" xfId="344"/>
    <cellStyle name="_Vacaville_total-IDE - ICF 3" xfId="345"/>
    <cellStyle name="_Valley_Revised 9-10-08-E" xfId="346"/>
    <cellStyle name="_Valley_Revised 9-10-08-E_CPV Thermal - Danbury" xfId="347"/>
    <cellStyle name="_WF-Waterfall" xfId="348"/>
    <cellStyle name="_Yaponcha 113006" xfId="349"/>
    <cellStyle name="£ BP" xfId="350"/>
    <cellStyle name="¥ JY" xfId="351"/>
    <cellStyle name="=C:\WINNT35\SYSTEM32\COMMAND.COM" xfId="352"/>
    <cellStyle name="0" xfId="353"/>
    <cellStyle name="0 2" xfId="354"/>
    <cellStyle name="0 3" xfId="355"/>
    <cellStyle name="0_dimon" xfId="356"/>
    <cellStyle name="0_dimon 2" xfId="357"/>
    <cellStyle name="0_dimon 3" xfId="358"/>
    <cellStyle name="0_dimon_1" xfId="359"/>
    <cellStyle name="0_dimon_1 2" xfId="360"/>
    <cellStyle name="0_dimon_1 3" xfId="361"/>
    <cellStyle name="0_Price Forecast" xfId="362"/>
    <cellStyle name="0_Price Forecast 2" xfId="363"/>
    <cellStyle name="0_Price Forecast 3" xfId="364"/>
    <cellStyle name="20% - Accent1 2" xfId="365"/>
    <cellStyle name="20% - Accent1 2 2" xfId="366"/>
    <cellStyle name="20% - Accent1 2 3" xfId="367"/>
    <cellStyle name="20% - Accent1 3" xfId="368"/>
    <cellStyle name="20% - Accent2 2" xfId="369"/>
    <cellStyle name="20% - Accent2 2 2" xfId="370"/>
    <cellStyle name="20% - Accent2 2 3" xfId="371"/>
    <cellStyle name="20% - Accent2 3" xfId="372"/>
    <cellStyle name="20% - Accent3 2" xfId="373"/>
    <cellStyle name="20% - Accent3 2 2" xfId="374"/>
    <cellStyle name="20% - Accent3 2 3" xfId="375"/>
    <cellStyle name="20% - Accent3 3" xfId="376"/>
    <cellStyle name="20% - Accent4 2" xfId="377"/>
    <cellStyle name="20% - Accent4 2 2" xfId="378"/>
    <cellStyle name="20% - Accent4 2 3" xfId="379"/>
    <cellStyle name="20% - Accent4 3" xfId="380"/>
    <cellStyle name="20% - Accent5 2" xfId="381"/>
    <cellStyle name="20% - Accent5 2 2" xfId="382"/>
    <cellStyle name="20% - Accent5 3" xfId="383"/>
    <cellStyle name="20% - Accent6 2" xfId="384"/>
    <cellStyle name="20% - Accent6 2 2" xfId="385"/>
    <cellStyle name="20% - Accent6 3" xfId="386"/>
    <cellStyle name="2001 Budget" xfId="387"/>
    <cellStyle name="3" xfId="388"/>
    <cellStyle name="40% - Accent1 2" xfId="389"/>
    <cellStyle name="40% - Accent1 2 2" xfId="390"/>
    <cellStyle name="40% - Accent1 2 3" xfId="391"/>
    <cellStyle name="40% - Accent1 3" xfId="392"/>
    <cellStyle name="40% - Accent2 2" xfId="393"/>
    <cellStyle name="40% - Accent2 2 2" xfId="394"/>
    <cellStyle name="40% - Accent2 3" xfId="395"/>
    <cellStyle name="40% - Accent3 2" xfId="396"/>
    <cellStyle name="40% - Accent3 2 2" xfId="397"/>
    <cellStyle name="40% - Accent3 2 3" xfId="398"/>
    <cellStyle name="40% - Accent3 3" xfId="399"/>
    <cellStyle name="40% - Accent4 2" xfId="400"/>
    <cellStyle name="40% - Accent4 2 2" xfId="401"/>
    <cellStyle name="40% - Accent4 2 3" xfId="402"/>
    <cellStyle name="40% - Accent4 3" xfId="403"/>
    <cellStyle name="40% - Accent5 2" xfId="404"/>
    <cellStyle name="40% - Accent5 2 2" xfId="405"/>
    <cellStyle name="40% - Accent5 3" xfId="406"/>
    <cellStyle name="40% - Accent6 2" xfId="407"/>
    <cellStyle name="40% - Accent6 2 2" xfId="408"/>
    <cellStyle name="40% - Accent6 2 3" xfId="409"/>
    <cellStyle name="40% - Accent6 3" xfId="410"/>
    <cellStyle name="60% - Accent1 2" xfId="411"/>
    <cellStyle name="60% - Accent1 2 2" xfId="412"/>
    <cellStyle name="60% - Accent1 2 3" xfId="413"/>
    <cellStyle name="60% - Accent1 3" xfId="414"/>
    <cellStyle name="60% - Accent2 2" xfId="415"/>
    <cellStyle name="60% - Accent2 2 2" xfId="416"/>
    <cellStyle name="60% - Accent2 3" xfId="417"/>
    <cellStyle name="60% - Accent3 2" xfId="418"/>
    <cellStyle name="60% - Accent3 2 2" xfId="419"/>
    <cellStyle name="60% - Accent3 2 3" xfId="420"/>
    <cellStyle name="60% - Accent3 3" xfId="421"/>
    <cellStyle name="60% - Accent4 2" xfId="422"/>
    <cellStyle name="60% - Accent4 2 2" xfId="423"/>
    <cellStyle name="60% - Accent4 2 3" xfId="424"/>
    <cellStyle name="60% - Accent4 3" xfId="425"/>
    <cellStyle name="60% - Accent5 2" xfId="426"/>
    <cellStyle name="60% - Accent5 2 2" xfId="427"/>
    <cellStyle name="60% - Accent5 3" xfId="428"/>
    <cellStyle name="60% - Accent6 2" xfId="429"/>
    <cellStyle name="60% - Accent6 2 2" xfId="430"/>
    <cellStyle name="60% - Accent6 2 3" xfId="431"/>
    <cellStyle name="60% - Accent6 3" xfId="432"/>
    <cellStyle name="A3 297 x 420 mm" xfId="433"/>
    <cellStyle name="Accent1 2" xfId="434"/>
    <cellStyle name="Accent1 2 2" xfId="435"/>
    <cellStyle name="Accent1 2 3" xfId="436"/>
    <cellStyle name="Accent1 3" xfId="437"/>
    <cellStyle name="Accent2 2" xfId="438"/>
    <cellStyle name="Accent2 2 2" xfId="439"/>
    <cellStyle name="Accent2 3" xfId="440"/>
    <cellStyle name="Accent3 2" xfId="441"/>
    <cellStyle name="Accent3 2 2" xfId="442"/>
    <cellStyle name="Accent3 3" xfId="443"/>
    <cellStyle name="Accent4 2" xfId="444"/>
    <cellStyle name="Accent4 2 2" xfId="445"/>
    <cellStyle name="Accent4 2 3" xfId="446"/>
    <cellStyle name="Accent4 3" xfId="447"/>
    <cellStyle name="Accent5 2" xfId="448"/>
    <cellStyle name="Accent5 2 2" xfId="449"/>
    <cellStyle name="Accent5 3" xfId="450"/>
    <cellStyle name="Accent6 2" xfId="451"/>
    <cellStyle name="Accent6 2 2" xfId="452"/>
    <cellStyle name="Accent6 3" xfId="453"/>
    <cellStyle name="Accounting" xfId="454"/>
    <cellStyle name="ACCT" xfId="455"/>
    <cellStyle name="Actual Date" xfId="456"/>
    <cellStyle name="Actual Date 2" xfId="457"/>
    <cellStyle name="Actual Date 3" xfId="458"/>
    <cellStyle name="AFE" xfId="459"/>
    <cellStyle name="Assumption" xfId="460"/>
    <cellStyle name="assumption 1" xfId="461"/>
    <cellStyle name="Assumption 2" xfId="462"/>
    <cellStyle name="Assumption 3" xfId="463"/>
    <cellStyle name="Assumption Date" xfId="464"/>
    <cellStyle name="background" xfId="465"/>
    <cellStyle name="Bad 2" xfId="466"/>
    <cellStyle name="Bad 2 2" xfId="467"/>
    <cellStyle name="Bad 3" xfId="468"/>
    <cellStyle name="Besuchter Hyperlink" xfId="469"/>
    <cellStyle name="Blank[,]" xfId="470"/>
    <cellStyle name="Bold/Border" xfId="471"/>
    <cellStyle name="BorderHeading" xfId="472"/>
    <cellStyle name="BOTLIN" xfId="473"/>
    <cellStyle name="bottom" xfId="474"/>
    <cellStyle name="Budget" xfId="475"/>
    <cellStyle name="Bullet" xfId="476"/>
    <cellStyle name="c" xfId="477"/>
    <cellStyle name="C00A" xfId="478"/>
    <cellStyle name="C00B" xfId="479"/>
    <cellStyle name="C00L" xfId="480"/>
    <cellStyle name="C01A" xfId="481"/>
    <cellStyle name="C01B" xfId="482"/>
    <cellStyle name="C01H" xfId="483"/>
    <cellStyle name="C01L" xfId="484"/>
    <cellStyle name="C02A" xfId="485"/>
    <cellStyle name="C02B" xfId="486"/>
    <cellStyle name="C02H" xfId="487"/>
    <cellStyle name="C02L" xfId="488"/>
    <cellStyle name="C03A" xfId="489"/>
    <cellStyle name="C03B" xfId="490"/>
    <cellStyle name="C03H" xfId="491"/>
    <cellStyle name="C03L" xfId="492"/>
    <cellStyle name="C04A" xfId="493"/>
    <cellStyle name="C04B" xfId="494"/>
    <cellStyle name="C04H" xfId="495"/>
    <cellStyle name="C04L" xfId="496"/>
    <cellStyle name="C05A" xfId="497"/>
    <cellStyle name="C05B" xfId="498"/>
    <cellStyle name="C05H" xfId="499"/>
    <cellStyle name="C05L" xfId="500"/>
    <cellStyle name="C06A" xfId="501"/>
    <cellStyle name="C06B" xfId="502"/>
    <cellStyle name="C06H" xfId="503"/>
    <cellStyle name="C06L" xfId="504"/>
    <cellStyle name="C07A" xfId="505"/>
    <cellStyle name="C07B" xfId="506"/>
    <cellStyle name="C07H" xfId="507"/>
    <cellStyle name="C07L" xfId="508"/>
    <cellStyle name="Calc" xfId="509"/>
    <cellStyle name="Calc Currency (0)" xfId="510"/>
    <cellStyle name="Calc_AUD" xfId="511"/>
    <cellStyle name="Calculation 2" xfId="512"/>
    <cellStyle name="Calculation 2 2" xfId="513"/>
    <cellStyle name="Calculation 2 3" xfId="514"/>
    <cellStyle name="Calculation 3" xfId="515"/>
    <cellStyle name="cd" xfId="516"/>
    <cellStyle name="CHARTArea" xfId="517"/>
    <cellStyle name="CHARTBar" xfId="518"/>
    <cellStyle name="CHARTfootnote" xfId="519"/>
    <cellStyle name="CHARTLine" xfId="520"/>
    <cellStyle name="CHARTScatter" xfId="521"/>
    <cellStyle name="CHARTStackedBar" xfId="522"/>
    <cellStyle name="Check Cell 2" xfId="523"/>
    <cellStyle name="Check Cell 2 2" xfId="524"/>
    <cellStyle name="Check Cell 3" xfId="525"/>
    <cellStyle name="Clarify" xfId="526"/>
    <cellStyle name="ClearZero&amp;Red-ve" xfId="527"/>
    <cellStyle name="col.head" xfId="528"/>
    <cellStyle name="ColC" xfId="529"/>
    <cellStyle name="ColD" xfId="530"/>
    <cellStyle name="Column.Head" xfId="531"/>
    <cellStyle name="ColumnHeader" xfId="532"/>
    <cellStyle name="Comma" xfId="533" builtinId="3"/>
    <cellStyle name="Comma [0] 2" xfId="534"/>
    <cellStyle name="Comma [2]" xfId="535"/>
    <cellStyle name="Comma 10" xfId="536"/>
    <cellStyle name="Comma 10 2" xfId="537"/>
    <cellStyle name="Comma 11" xfId="538"/>
    <cellStyle name="Comma 11 2" xfId="539"/>
    <cellStyle name="Comma 12" xfId="540"/>
    <cellStyle name="Comma 13" xfId="541"/>
    <cellStyle name="Comma 14" xfId="542"/>
    <cellStyle name="Comma 15" xfId="543"/>
    <cellStyle name="Comma 16" xfId="544"/>
    <cellStyle name="Comma 17" xfId="545"/>
    <cellStyle name="Comma 2" xfId="546"/>
    <cellStyle name="Comma 2 2" xfId="547"/>
    <cellStyle name="Comma 3" xfId="548"/>
    <cellStyle name="Comma 3 2" xfId="549"/>
    <cellStyle name="Comma 4" xfId="550"/>
    <cellStyle name="Comma 4 2" xfId="551"/>
    <cellStyle name="Comma 4 3" xfId="552"/>
    <cellStyle name="Comma 5" xfId="553"/>
    <cellStyle name="Comma 6" xfId="554"/>
    <cellStyle name="Comma 7" xfId="555"/>
    <cellStyle name="Comma 8" xfId="556"/>
    <cellStyle name="Comma 8 2" xfId="557"/>
    <cellStyle name="Comma 9" xfId="558"/>
    <cellStyle name="Comma0" xfId="559"/>
    <cellStyle name="CommaDU" xfId="560"/>
    <cellStyle name="CommaU" xfId="561"/>
    <cellStyle name="Comment" xfId="562"/>
    <cellStyle name="Comments" xfId="563"/>
    <cellStyle name="Commg" xfId="564"/>
    <cellStyle name="Curr" xfId="565"/>
    <cellStyle name="CurrDU" xfId="566"/>
    <cellStyle name="Currency" xfId="567" builtinId="4"/>
    <cellStyle name="Currency [0] U" xfId="568"/>
    <cellStyle name="Currency [1]" xfId="569"/>
    <cellStyle name="Currency [2]" xfId="570"/>
    <cellStyle name="Currency [2] U" xfId="571"/>
    <cellStyle name="Currency [2]_DBCT_Scenario 1" xfId="572"/>
    <cellStyle name="Currency 10" xfId="573"/>
    <cellStyle name="Currency 2" xfId="574"/>
    <cellStyle name="Currency 2 2" xfId="575"/>
    <cellStyle name="Currency 2 3" xfId="576"/>
    <cellStyle name="Currency 3" xfId="577"/>
    <cellStyle name="Currency 3 2" xfId="578"/>
    <cellStyle name="Currency 4" xfId="579"/>
    <cellStyle name="Currency 5" xfId="580"/>
    <cellStyle name="Currency 6" xfId="581"/>
    <cellStyle name="Currency 6 2" xfId="582"/>
    <cellStyle name="Currency 7" xfId="583"/>
    <cellStyle name="Currency 8" xfId="584"/>
    <cellStyle name="Currency 9" xfId="585"/>
    <cellStyle name="Currency0" xfId="586"/>
    <cellStyle name="CurrU" xfId="587"/>
    <cellStyle name="custom" xfId="588"/>
    <cellStyle name="CustomH" xfId="589"/>
    <cellStyle name="Dash" xfId="590"/>
    <cellStyle name="Data Box" xfId="591"/>
    <cellStyle name="Date" xfId="592"/>
    <cellStyle name="Date [1 Dec 01]" xfId="593"/>
    <cellStyle name="Date [31 Dec 2000]" xfId="594"/>
    <cellStyle name="Date [31/12/02]" xfId="595"/>
    <cellStyle name="Date [Dec 00]" xfId="596"/>
    <cellStyle name="Date U" xfId="597"/>
    <cellStyle name="Date_A. Inputs" xfId="598"/>
    <cellStyle name="DateHeading" xfId="599"/>
    <cellStyle name="DateLong" xfId="600"/>
    <cellStyle name="DateShort" xfId="601"/>
    <cellStyle name="DateTime" xfId="602"/>
    <cellStyle name="Debt" xfId="603"/>
    <cellStyle name="Decimal [0]" xfId="604"/>
    <cellStyle name="Decimal [2]" xfId="605"/>
    <cellStyle name="Decimal [2] U" xfId="606"/>
    <cellStyle name="Decimal [2]_DBCT_Scenario 1" xfId="607"/>
    <cellStyle name="Decimal [4]" xfId="608"/>
    <cellStyle name="Decimal [4] U" xfId="609"/>
    <cellStyle name="Decimal [4]_DBCT_Scenario 1" xfId="610"/>
    <cellStyle name="dohm" xfId="611"/>
    <cellStyle name="dohm1" xfId="612"/>
    <cellStyle name="dohm2" xfId="613"/>
    <cellStyle name="Ed" xfId="614"/>
    <cellStyle name="entry" xfId="615"/>
    <cellStyle name="Equity" xfId="616"/>
    <cellStyle name="Eric1" xfId="617"/>
    <cellStyle name="Eric2" xfId="618"/>
    <cellStyle name="Eric3" xfId="619"/>
    <cellStyle name="Error_Check" xfId="620"/>
    <cellStyle name="ErrorMessage" xfId="621"/>
    <cellStyle name="Euro" xfId="622"/>
    <cellStyle name="Explanatory Text 2" xfId="623"/>
    <cellStyle name="Explanatory Text 2 2" xfId="624"/>
    <cellStyle name="Explanatory Text 3" xfId="625"/>
    <cellStyle name="EY House" xfId="626"/>
    <cellStyle name="f" xfId="627"/>
    <cellStyle name="Factor" xfId="628"/>
    <cellStyle name="First Column" xfId="629"/>
    <cellStyle name="Fixed" xfId="630"/>
    <cellStyle name="Fixed 2" xfId="631"/>
    <cellStyle name="Fixed 3" xfId="632"/>
    <cellStyle name="Good 2" xfId="633"/>
    <cellStyle name="Good 2 2" xfId="634"/>
    <cellStyle name="Good 3" xfId="635"/>
    <cellStyle name="Good 4" xfId="636"/>
    <cellStyle name="Grey" xfId="637"/>
    <cellStyle name="Growth Factor" xfId="638"/>
    <cellStyle name="Hash Out" xfId="639"/>
    <cellStyle name="HEADER" xfId="640"/>
    <cellStyle name="Header1" xfId="641"/>
    <cellStyle name="Header2" xfId="642"/>
    <cellStyle name="Heading" xfId="643"/>
    <cellStyle name="Heading 0" xfId="644"/>
    <cellStyle name="Heading 1 2" xfId="645"/>
    <cellStyle name="Heading 1 2 2" xfId="646"/>
    <cellStyle name="Heading 1 2 3" xfId="647"/>
    <cellStyle name="Heading 1 3" xfId="648"/>
    <cellStyle name="Heading 1A" xfId="649"/>
    <cellStyle name="Heading 2 2" xfId="650"/>
    <cellStyle name="Heading 2 2 2" xfId="651"/>
    <cellStyle name="Heading 2 2 3" xfId="652"/>
    <cellStyle name="Heading 2 3" xfId="653"/>
    <cellStyle name="Heading 3 2" xfId="654"/>
    <cellStyle name="Heading 3 2 2" xfId="655"/>
    <cellStyle name="Heading 3 2 3" xfId="656"/>
    <cellStyle name="Heading 3 3" xfId="657"/>
    <cellStyle name="Heading 4 2" xfId="658"/>
    <cellStyle name="Heading 4 2 2" xfId="659"/>
    <cellStyle name="Heading 4 2 3" xfId="660"/>
    <cellStyle name="Heading 4 3" xfId="661"/>
    <cellStyle name="Heading1" xfId="662"/>
    <cellStyle name="Heading1 2" xfId="663"/>
    <cellStyle name="Heading1 3" xfId="664"/>
    <cellStyle name="Heading2" xfId="665"/>
    <cellStyle name="Heading2 2" xfId="666"/>
    <cellStyle name="Heading2 3" xfId="667"/>
    <cellStyle name="Hidden" xfId="668"/>
    <cellStyle name="HIGHLIGHT" xfId="669"/>
    <cellStyle name="hlv14B" xfId="670"/>
    <cellStyle name="Hyperlink 2" xfId="671"/>
    <cellStyle name="Hyperlink Text" xfId="672"/>
    <cellStyle name="Initial Inputs" xfId="673"/>
    <cellStyle name="Inp-0com" xfId="674"/>
    <cellStyle name="Inp-1per" xfId="675"/>
    <cellStyle name="Inp-Date" xfId="676"/>
    <cellStyle name="Input - Comma" xfId="677"/>
    <cellStyle name="Input - Comma [0]" xfId="678"/>
    <cellStyle name="Input - Comma_A. Equity ratios" xfId="679"/>
    <cellStyle name="Input - Date" xfId="680"/>
    <cellStyle name="Input - Percent [2]" xfId="681"/>
    <cellStyle name="Input (Date)" xfId="682"/>
    <cellStyle name="Input (StyleA)" xfId="683"/>
    <cellStyle name="Input [yellow]" xfId="684"/>
    <cellStyle name="Input 2" xfId="685"/>
    <cellStyle name="Input 2 2" xfId="686"/>
    <cellStyle name="Input 3" xfId="687"/>
    <cellStyle name="Input 4" xfId="688"/>
    <cellStyle name="Input-0com" xfId="689"/>
    <cellStyle name="Input-1dec" xfId="690"/>
    <cellStyle name="Input-1per" xfId="691"/>
    <cellStyle name="Input-2dec" xfId="692"/>
    <cellStyle name="Input-2per" xfId="693"/>
    <cellStyle name="Inputs" xfId="694"/>
    <cellStyle name="ircANALYST" xfId="695"/>
    <cellStyle name="ircCOMMENTS" xfId="696"/>
    <cellStyle name="ircCOMPANY" xfId="697"/>
    <cellStyle name="ircCOUNTRY" xfId="698"/>
    <cellStyle name="ircRATING" xfId="699"/>
    <cellStyle name="KPMG Heading 1" xfId="700"/>
    <cellStyle name="KPMG Heading 2" xfId="701"/>
    <cellStyle name="KPMG Heading 3" xfId="702"/>
    <cellStyle name="KPMG Heading 4" xfId="703"/>
    <cellStyle name="KPMG Normal" xfId="704"/>
    <cellStyle name="KPMG Normal Text" xfId="705"/>
    <cellStyle name="Label" xfId="706"/>
    <cellStyle name="Linked" xfId="707"/>
    <cellStyle name="Linked Cell 2" xfId="708"/>
    <cellStyle name="Linked Cell 2 2" xfId="709"/>
    <cellStyle name="Linked Cell 3" xfId="710"/>
    <cellStyle name="Lookup" xfId="711"/>
    <cellStyle name="LookupInput" xfId="712"/>
    <cellStyle name="M" xfId="713"/>
    <cellStyle name="MAND_x000a_CHECK.COMMAND_x000e_RENAME.COMMAND_x0008_SHOW.BAR_x000b_DELETE.MENU_x000e_DELETE.COMMAND_x000e_GET.CHA" xfId="714"/>
    <cellStyle name="Milliers_Motor vehicle market" xfId="715"/>
    <cellStyle name="Missing" xfId="716"/>
    <cellStyle name="Name" xfId="717"/>
    <cellStyle name="Needed Input" xfId="718"/>
    <cellStyle name="Negative" xfId="719"/>
    <cellStyle name="Negative[0]" xfId="720"/>
    <cellStyle name="Negative_Sheet" xfId="721"/>
    <cellStyle name="Neutral 2" xfId="722"/>
    <cellStyle name="Neutral 2 2" xfId="723"/>
    <cellStyle name="Neutral 3" xfId="724"/>
    <cellStyle name="Neutral 4" xfId="725"/>
    <cellStyle name="nImplode RB" xfId="726"/>
    <cellStyle name="nImplode RC" xfId="727"/>
    <cellStyle name="nImplode RD" xfId="728"/>
    <cellStyle name="nImplode Rows" xfId="729"/>
    <cellStyle name="no dec" xfId="730"/>
    <cellStyle name="no dec 2" xfId="731"/>
    <cellStyle name="no dec 3" xfId="732"/>
    <cellStyle name="No decimals" xfId="733"/>
    <cellStyle name="No?mal" xfId="734"/>
    <cellStyle name="Norm`l_INPCMHB_1_FUEL" xfId="735"/>
    <cellStyle name="Normal" xfId="0" builtinId="0"/>
    <cellStyle name="Normal - Input" xfId="736"/>
    <cellStyle name="Normal - Style1" xfId="737"/>
    <cellStyle name="Normal - Style1 2" xfId="738"/>
    <cellStyle name="Normal - Style1 3" xfId="739"/>
    <cellStyle name="Normal 10" xfId="740"/>
    <cellStyle name="Normal 10 2" xfId="741"/>
    <cellStyle name="Normal 10 3" xfId="742"/>
    <cellStyle name="Normal 11" xfId="743"/>
    <cellStyle name="Normal 12" xfId="744"/>
    <cellStyle name="Normal 13" xfId="745"/>
    <cellStyle name="Normal 13 2" xfId="746"/>
    <cellStyle name="Normal 14" xfId="747"/>
    <cellStyle name="Normal 15" xfId="748"/>
    <cellStyle name="Normal 16" xfId="749"/>
    <cellStyle name="Normal 17" xfId="750"/>
    <cellStyle name="Normal 18" xfId="751"/>
    <cellStyle name="Normal 19" xfId="752"/>
    <cellStyle name="Normal 2" xfId="753"/>
    <cellStyle name="Normal 2 13" xfId="754"/>
    <cellStyle name="Normal 2 2" xfId="755"/>
    <cellStyle name="Normal 2 2 10" xfId="756"/>
    <cellStyle name="Normal 2 2 2" xfId="757"/>
    <cellStyle name="Normal 2 2 3" xfId="758"/>
    <cellStyle name="Normal 2 2 4" xfId="759"/>
    <cellStyle name="Normal 2 2_CPV Sentinel 11092010a-Diamond_DGC Ver15(TOK報告）Feb 24 Update OLD MC" xfId="760"/>
    <cellStyle name="Normal 2 3" xfId="761"/>
    <cellStyle name="Normal 2 4" xfId="762"/>
    <cellStyle name="Normal 2 5" xfId="763"/>
    <cellStyle name="Normal 2_Stochastic UnitData_Spring 08 analysis (2)" xfId="764"/>
    <cellStyle name="Normal 20" xfId="765"/>
    <cellStyle name="Normal 21" xfId="766"/>
    <cellStyle name="Normal 22" xfId="767"/>
    <cellStyle name="Normal 23" xfId="768"/>
    <cellStyle name="Normal 24" xfId="769"/>
    <cellStyle name="Normal 25" xfId="770"/>
    <cellStyle name="Normal 26" xfId="771"/>
    <cellStyle name="Normal 3" xfId="772"/>
    <cellStyle name="Normal 3 2" xfId="773"/>
    <cellStyle name="Normal 3 2 2" xfId="774"/>
    <cellStyle name="Normal 4" xfId="775"/>
    <cellStyle name="Normal 4 2" xfId="776"/>
    <cellStyle name="Normal 4 2 2" xfId="777"/>
    <cellStyle name="Normal 4 3" xfId="778"/>
    <cellStyle name="Normal 4 3 2" xfId="779"/>
    <cellStyle name="Normal 4 3 3" xfId="780"/>
    <cellStyle name="Normal 4 4" xfId="781"/>
    <cellStyle name="Normal 4 5" xfId="782"/>
    <cellStyle name="Normal 5" xfId="783"/>
    <cellStyle name="Normal 5 2" xfId="784"/>
    <cellStyle name="Normal 5 3" xfId="785"/>
    <cellStyle name="Normal 6" xfId="786"/>
    <cellStyle name="Normal 6 2" xfId="787"/>
    <cellStyle name="Normal 6 3" xfId="788"/>
    <cellStyle name="Normal 6 4" xfId="789"/>
    <cellStyle name="Normal 6 9" xfId="790"/>
    <cellStyle name="Normal 7" xfId="791"/>
    <cellStyle name="Normal 7 2" xfId="792"/>
    <cellStyle name="Normal 7 3" xfId="793"/>
    <cellStyle name="Normal 7 3 2" xfId="794"/>
    <cellStyle name="Normal 7 4" xfId="795"/>
    <cellStyle name="Normal 7 4 2" xfId="796"/>
    <cellStyle name="Normal 8" xfId="797"/>
    <cellStyle name="Normal 9" xfId="798"/>
    <cellStyle name="Normal 9 2" xfId="799"/>
    <cellStyle name="Normal 9 2 2" xfId="800"/>
    <cellStyle name="Normal U" xfId="801"/>
    <cellStyle name="Not In Use" xfId="802"/>
    <cellStyle name="Not In Use 2" xfId="803"/>
    <cellStyle name="Note 2" xfId="804"/>
    <cellStyle name="Note 2 2" xfId="805"/>
    <cellStyle name="Note 2 3" xfId="806"/>
    <cellStyle name="Note 3" xfId="807"/>
    <cellStyle name="NotPercent" xfId="808"/>
    <cellStyle name="Out-Date" xfId="809"/>
    <cellStyle name="Output 2" xfId="810"/>
    <cellStyle name="Output 2 2" xfId="811"/>
    <cellStyle name="Output 2 3" xfId="812"/>
    <cellStyle name="Output 3" xfId="813"/>
    <cellStyle name="OUTPUT AMOUNTS" xfId="814"/>
    <cellStyle name="OUTPUT COLUMN HEADINGS" xfId="815"/>
    <cellStyle name="OUTPUT LINE ITEMS" xfId="816"/>
    <cellStyle name="OUTPUT REPORT HEADING" xfId="817"/>
    <cellStyle name="OUTPUT REPORT TITLE" xfId="818"/>
    <cellStyle name="Output-0com" xfId="819"/>
    <cellStyle name="Output-1com" xfId="820"/>
    <cellStyle name="Output-2per" xfId="821"/>
    <cellStyle name="Output-3dec" xfId="822"/>
    <cellStyle name="Output-3sci" xfId="823"/>
    <cellStyle name="Output-4dec" xfId="824"/>
    <cellStyle name="Outputs (Locked)" xfId="825"/>
    <cellStyle name="Page1" xfId="826"/>
    <cellStyle name="PB Table Heading" xfId="827"/>
    <cellStyle name="PB Table Highlight1" xfId="828"/>
    <cellStyle name="PB Table Highlight2" xfId="829"/>
    <cellStyle name="PB Table Highlight3" xfId="830"/>
    <cellStyle name="PB Table Standard Row" xfId="831"/>
    <cellStyle name="PB Table Subtotal Row" xfId="832"/>
    <cellStyle name="PB Table Total Row" xfId="833"/>
    <cellStyle name="Percent" xfId="834" builtinId="5"/>
    <cellStyle name="Percent [0]" xfId="835"/>
    <cellStyle name="Percent [1]" xfId="836"/>
    <cellStyle name="Percent [2]" xfId="837"/>
    <cellStyle name="Percent [2] 2" xfId="838"/>
    <cellStyle name="Percent [2] 3" xfId="839"/>
    <cellStyle name="Percent [2] U" xfId="840"/>
    <cellStyle name="Percent [2]_2 May GWPM Model" xfId="841"/>
    <cellStyle name="Percent 10" xfId="842"/>
    <cellStyle name="Percent 11" xfId="843"/>
    <cellStyle name="Percent 12" xfId="844"/>
    <cellStyle name="Percent 13" xfId="845"/>
    <cellStyle name="Percent 2" xfId="846"/>
    <cellStyle name="Percent 2 2" xfId="847"/>
    <cellStyle name="Percent 3" xfId="848"/>
    <cellStyle name="Percent 3 2" xfId="849"/>
    <cellStyle name="Percent 3 3" xfId="850"/>
    <cellStyle name="Percent 3 4" xfId="851"/>
    <cellStyle name="Percent 3 5" xfId="852"/>
    <cellStyle name="Percent 4" xfId="853"/>
    <cellStyle name="Percent 4 2" xfId="854"/>
    <cellStyle name="Percent 5" xfId="855"/>
    <cellStyle name="Percent 5 2" xfId="856"/>
    <cellStyle name="Percent 6" xfId="857"/>
    <cellStyle name="Percent 7" xfId="858"/>
    <cellStyle name="Percent 7 2" xfId="859"/>
    <cellStyle name="Percent 8" xfId="860"/>
    <cellStyle name="Percent 9" xfId="861"/>
    <cellStyle name="Placeholder" xfId="862"/>
    <cellStyle name="price" xfId="863"/>
    <cellStyle name="PSChar" xfId="864"/>
    <cellStyle name="PSDate" xfId="865"/>
    <cellStyle name="PSDec" xfId="866"/>
    <cellStyle name="PSHeading" xfId="867"/>
    <cellStyle name="PSInt" xfId="868"/>
    <cellStyle name="PSSpacer" xfId="869"/>
    <cellStyle name="R00A" xfId="870"/>
    <cellStyle name="R00B" xfId="871"/>
    <cellStyle name="R00L" xfId="872"/>
    <cellStyle name="R01A" xfId="873"/>
    <cellStyle name="R01B" xfId="874"/>
    <cellStyle name="R01H" xfId="875"/>
    <cellStyle name="R01L" xfId="876"/>
    <cellStyle name="R02A" xfId="877"/>
    <cellStyle name="R02B" xfId="878"/>
    <cellStyle name="R02H" xfId="879"/>
    <cellStyle name="R02L" xfId="880"/>
    <cellStyle name="R03A" xfId="881"/>
    <cellStyle name="R03B" xfId="882"/>
    <cellStyle name="R03H" xfId="883"/>
    <cellStyle name="R03L" xfId="884"/>
    <cellStyle name="R04A" xfId="885"/>
    <cellStyle name="R04B" xfId="886"/>
    <cellStyle name="R04H" xfId="887"/>
    <cellStyle name="R04L" xfId="888"/>
    <cellStyle name="R05A" xfId="889"/>
    <cellStyle name="R05B" xfId="890"/>
    <cellStyle name="R05H" xfId="891"/>
    <cellStyle name="R05L" xfId="892"/>
    <cellStyle name="R06A" xfId="893"/>
    <cellStyle name="R06B" xfId="894"/>
    <cellStyle name="R06H" xfId="895"/>
    <cellStyle name="R06L" xfId="896"/>
    <cellStyle name="R07A" xfId="897"/>
    <cellStyle name="R07B" xfId="898"/>
    <cellStyle name="R07H" xfId="899"/>
    <cellStyle name="R07L" xfId="900"/>
    <cellStyle name="RangeName" xfId="901"/>
    <cellStyle name="Relative" xfId="902"/>
    <cellStyle name="Results" xfId="903"/>
    <cellStyle name="revised" xfId="904"/>
    <cellStyle name="ScaleStyle" xfId="905"/>
    <cellStyle name="ScenarioInput" xfId="906"/>
    <cellStyle name="secondary" xfId="907"/>
    <cellStyle name="Sect1" xfId="908"/>
    <cellStyle name="section" xfId="909"/>
    <cellStyle name="Sheet Title" xfId="910"/>
    <cellStyle name="Standard_Liquiditätsplan" xfId="911"/>
    <cellStyle name="StrategyDependent" xfId="912"/>
    <cellStyle name="Style 1" xfId="913"/>
    <cellStyle name="Style 1 2" xfId="914"/>
    <cellStyle name="Style 21" xfId="915"/>
    <cellStyle name="Style 22" xfId="916"/>
    <cellStyle name="Style 23" xfId="917"/>
    <cellStyle name="Style 24" xfId="918"/>
    <cellStyle name="Style 25" xfId="919"/>
    <cellStyle name="Style 26" xfId="920"/>
    <cellStyle name="Style 27" xfId="921"/>
    <cellStyle name="Style 28" xfId="922"/>
    <cellStyle name="Style 29" xfId="923"/>
    <cellStyle name="Style 30" xfId="924"/>
    <cellStyle name="Style 31" xfId="925"/>
    <cellStyle name="Style 32" xfId="926"/>
    <cellStyle name="Style 33" xfId="927"/>
    <cellStyle name="Style 34" xfId="928"/>
    <cellStyle name="Style 35" xfId="929"/>
    <cellStyle name="Style 36" xfId="930"/>
    <cellStyle name="Style 37" xfId="931"/>
    <cellStyle name="Style 38" xfId="932"/>
    <cellStyle name="Style 39" xfId="933"/>
    <cellStyle name="subhead" xfId="934"/>
    <cellStyle name="SubHeading 1" xfId="935"/>
    <cellStyle name="SubHeading 2" xfId="936"/>
    <cellStyle name="summation" xfId="937"/>
    <cellStyle name="Switch" xfId="938"/>
    <cellStyle name="t1" xfId="939"/>
    <cellStyle name="Table Heading" xfId="940"/>
    <cellStyle name="Table#" xfId="941"/>
    <cellStyle name="TableColHeadCenter" xfId="942"/>
    <cellStyle name="TableColHeadLeft" xfId="943"/>
    <cellStyle name="TableColHeadRight" xfId="944"/>
    <cellStyle name="TableData" xfId="945"/>
    <cellStyle name="TableFootnote" xfId="946"/>
    <cellStyle name="TableRatingsData" xfId="947"/>
    <cellStyle name="TableStraddle" xfId="948"/>
    <cellStyle name="TableSub" xfId="949"/>
    <cellStyle name="TableText" xfId="950"/>
    <cellStyle name="TableText1" xfId="951"/>
    <cellStyle name="TableText2" xfId="952"/>
    <cellStyle name="TableTitle" xfId="953"/>
    <cellStyle name="TableTitleSub" xfId="954"/>
    <cellStyle name="Temp" xfId="955"/>
    <cellStyle name="Thou" xfId="956"/>
    <cellStyle name="Thous" xfId="957"/>
    <cellStyle name="Thousands" xfId="958"/>
    <cellStyle name="TimeLine" xfId="959"/>
    <cellStyle name="Title" xfId="960" builtinId="15" customBuiltin="1"/>
    <cellStyle name="Title 2" xfId="961"/>
    <cellStyle name="Title 2 2" xfId="962"/>
    <cellStyle name="Title 3" xfId="963"/>
    <cellStyle name="TitleBars" xfId="964"/>
    <cellStyle name="top" xfId="965"/>
    <cellStyle name="TOT" xfId="966"/>
    <cellStyle name="tot$" xfId="967"/>
    <cellStyle name="Total 1" xfId="968"/>
    <cellStyle name="Total 2" xfId="969"/>
    <cellStyle name="Total 2 2" xfId="970"/>
    <cellStyle name="Total 2 3" xfId="971"/>
    <cellStyle name="Total 3" xfId="972"/>
    <cellStyle name="Total 4" xfId="973"/>
    <cellStyle name="totalNO$" xfId="974"/>
    <cellStyle name="Tusental (0)_pldt" xfId="975"/>
    <cellStyle name="Tusental_pldt" xfId="976"/>
    <cellStyle name="unique" xfId="977"/>
    <cellStyle name="Units" xfId="978"/>
    <cellStyle name="Unprot" xfId="979"/>
    <cellStyle name="Unprot$" xfId="980"/>
    <cellStyle name="Unprot$ 2" xfId="981"/>
    <cellStyle name="Unprot$ 3" xfId="982"/>
    <cellStyle name="Unprot_CPV Thermal - Danbury" xfId="983"/>
    <cellStyle name="Unprotect" xfId="984"/>
    <cellStyle name="User_Defined_B" xfId="985"/>
    <cellStyle name="Usual" xfId="986"/>
    <cellStyle name="v" xfId="987"/>
    <cellStyle name="Valuta (0)_pldt" xfId="988"/>
    <cellStyle name="Valuta_pldt" xfId="989"/>
    <cellStyle name="Warning" xfId="990"/>
    <cellStyle name="Warning Text 2" xfId="991"/>
    <cellStyle name="Warning Text 2 2" xfId="992"/>
    <cellStyle name="Warning Text 3" xfId="993"/>
    <cellStyle name="year" xfId="994"/>
    <cellStyle name="Yes/No" xfId="995"/>
    <cellStyle name="Zero" xfId="996"/>
    <cellStyle name="未定義" xfId="997"/>
    <cellStyle name="桁区切り [0.00]_CPV Sentinel 11092010a-Diamond_DGC Ver15(TOK報告) Feb 23 Update OLD" xfId="998"/>
    <cellStyle name="桁区切り_PRO306(QF21)Receivable(Inv)" xfId="999"/>
    <cellStyle name="標準_Asset Accounts" xfId="1000"/>
    <cellStyle name="表旨巧・・ハイパーリンク" xfId="1001"/>
    <cellStyle name="通貨  el" xfId="1002"/>
    <cellStyle name="通貨 [0.00]_CPV_Maryland_Mar 14 Houshin Ver1 (proporsal base)" xfId="1003"/>
  </cellStyles>
  <dxfs count="19"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56"/>
  <sheetViews>
    <sheetView tabSelected="1" zoomScale="70" zoomScaleNormal="70" workbookViewId="0">
      <pane xSplit="7" ySplit="5" topLeftCell="H6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4.4"/>
  <cols>
    <col min="1" max="1" width="38.44140625" style="592" customWidth="1"/>
    <col min="2" max="2" width="12.44140625" style="592" bestFit="1" customWidth="1"/>
    <col min="3" max="3" width="20" style="592" bestFit="1" customWidth="1"/>
    <col min="4" max="4" width="2.6640625" style="535" customWidth="1"/>
    <col min="5" max="5" width="3" style="592" customWidth="1"/>
    <col min="6" max="6" width="1.5546875" style="592" customWidth="1"/>
    <col min="7" max="7" width="51" style="592" bestFit="1" customWidth="1"/>
    <col min="8" max="8" width="11.109375" style="592" bestFit="1" customWidth="1"/>
    <col min="9" max="9" width="17.6640625" style="592" bestFit="1" customWidth="1"/>
    <col min="10" max="10" width="17.33203125" style="592" bestFit="1" customWidth="1"/>
    <col min="11" max="12" width="17.6640625" style="592" bestFit="1" customWidth="1"/>
    <col min="13" max="13" width="17.33203125" style="592" bestFit="1" customWidth="1"/>
    <col min="14" max="14" width="16.33203125" style="592" bestFit="1" customWidth="1"/>
    <col min="15" max="15" width="16.6640625" style="592" bestFit="1" customWidth="1"/>
    <col min="16" max="17" width="16.33203125" style="592" bestFit="1" customWidth="1"/>
    <col min="18" max="18" width="15.6640625" style="592" bestFit="1" customWidth="1"/>
    <col min="19" max="20" width="16.6640625" style="592" bestFit="1" customWidth="1"/>
    <col min="21" max="21" width="16.33203125" style="592" bestFit="1" customWidth="1"/>
    <col min="22" max="22" width="17.6640625" style="592" bestFit="1" customWidth="1"/>
    <col min="23" max="24" width="17.33203125" style="592" bestFit="1" customWidth="1"/>
    <col min="25" max="26" width="17.6640625" style="592" bestFit="1" customWidth="1"/>
    <col min="27" max="27" width="16.88671875" style="592" bestFit="1" customWidth="1"/>
    <col min="28" max="29" width="16" style="592" bestFit="1" customWidth="1"/>
    <col min="30" max="30" width="16.6640625" style="592" bestFit="1" customWidth="1"/>
    <col min="31" max="32" width="16" style="592" bestFit="1" customWidth="1"/>
    <col min="33" max="33" width="16.6640625" style="592" bestFit="1" customWidth="1"/>
    <col min="34" max="34" width="16" style="592" bestFit="1" customWidth="1"/>
    <col min="35" max="35" width="15.6640625" style="592" bestFit="1" customWidth="1"/>
    <col min="36" max="36" width="16" style="592" bestFit="1" customWidth="1"/>
    <col min="37" max="37" width="16.6640625" style="592" bestFit="1" customWidth="1"/>
    <col min="38" max="38" width="16" style="592" bestFit="1" customWidth="1"/>
    <col min="39" max="40" width="1.44140625" style="592" customWidth="1"/>
    <col min="41" max="41" width="9.109375" style="592"/>
    <col min="42" max="42" width="8.6640625" style="592" bestFit="1" customWidth="1"/>
    <col min="43" max="43" width="14.88671875" style="592" bestFit="1" customWidth="1"/>
    <col min="44" max="16384" width="9.109375" style="592"/>
  </cols>
  <sheetData>
    <row r="1" spans="1:44" ht="23.4">
      <c r="A1" s="574" t="s">
        <v>164</v>
      </c>
    </row>
    <row r="2" spans="1:44" ht="21">
      <c r="A2" s="602" t="s">
        <v>122</v>
      </c>
      <c r="B2" s="603"/>
      <c r="C2" s="603"/>
    </row>
    <row r="3" spans="1:44" ht="15.6">
      <c r="A3" s="455"/>
      <c r="B3" s="455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4" ht="5.25" customHeight="1">
      <c r="E4" s="467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7"/>
    </row>
    <row r="5" spans="1:44" ht="16.2" thickBot="1">
      <c r="A5" s="469" t="s">
        <v>0</v>
      </c>
      <c r="B5" s="518"/>
      <c r="E5" s="467"/>
      <c r="F5" s="468"/>
      <c r="G5" s="471" t="s">
        <v>64</v>
      </c>
      <c r="H5" s="472">
        <v>42491</v>
      </c>
      <c r="I5" s="473">
        <v>42856</v>
      </c>
      <c r="J5" s="473">
        <v>43221</v>
      </c>
      <c r="K5" s="473">
        <v>43586</v>
      </c>
      <c r="L5" s="473">
        <v>43952</v>
      </c>
      <c r="M5" s="473">
        <v>44317</v>
      </c>
      <c r="N5" s="473">
        <v>44682</v>
      </c>
      <c r="O5" s="473">
        <v>45047</v>
      </c>
      <c r="P5" s="473">
        <v>45413</v>
      </c>
      <c r="Q5" s="473">
        <v>45778</v>
      </c>
      <c r="R5" s="473">
        <v>46143</v>
      </c>
      <c r="S5" s="473">
        <v>46508</v>
      </c>
      <c r="T5" s="473">
        <v>46874</v>
      </c>
      <c r="U5" s="473">
        <v>47239</v>
      </c>
      <c r="V5" s="473">
        <v>47604</v>
      </c>
      <c r="W5" s="473">
        <v>47969</v>
      </c>
      <c r="X5" s="473">
        <v>48335</v>
      </c>
      <c r="Y5" s="473">
        <v>48700</v>
      </c>
      <c r="Z5" s="473">
        <v>49065</v>
      </c>
      <c r="AA5" s="473">
        <v>49430</v>
      </c>
      <c r="AB5" s="473">
        <v>49796</v>
      </c>
      <c r="AC5" s="473">
        <v>50161</v>
      </c>
      <c r="AD5" s="473">
        <v>50526</v>
      </c>
      <c r="AE5" s="473">
        <v>50891</v>
      </c>
      <c r="AF5" s="473">
        <v>51257</v>
      </c>
      <c r="AG5" s="473">
        <v>51622</v>
      </c>
      <c r="AH5" s="473">
        <v>51987</v>
      </c>
      <c r="AI5" s="473">
        <v>52352</v>
      </c>
      <c r="AJ5" s="473">
        <v>52718</v>
      </c>
      <c r="AK5" s="473">
        <v>53083</v>
      </c>
      <c r="AL5" s="473">
        <v>53448</v>
      </c>
      <c r="AM5" s="468"/>
      <c r="AN5" s="467"/>
      <c r="AP5" s="545" t="s">
        <v>45</v>
      </c>
      <c r="AQ5" s="545" t="s">
        <v>46</v>
      </c>
      <c r="AR5" s="545" t="s">
        <v>94</v>
      </c>
    </row>
    <row r="6" spans="1:44" ht="15.6">
      <c r="A6" s="474" t="s">
        <v>71</v>
      </c>
      <c r="B6" s="478" t="s">
        <v>74</v>
      </c>
      <c r="C6" s="563">
        <f>5500*C7*1000</f>
        <v>550000000</v>
      </c>
      <c r="D6" s="421"/>
      <c r="E6" s="467"/>
      <c r="F6" s="468"/>
      <c r="G6" s="559" t="s">
        <v>16</v>
      </c>
      <c r="H6" s="560"/>
      <c r="I6" s="561">
        <v>1</v>
      </c>
      <c r="J6" s="561">
        <v>2</v>
      </c>
      <c r="K6" s="561">
        <v>3</v>
      </c>
      <c r="L6" s="561">
        <v>4</v>
      </c>
      <c r="M6" s="561">
        <v>5</v>
      </c>
      <c r="N6" s="561">
        <v>6</v>
      </c>
      <c r="O6" s="561">
        <v>7</v>
      </c>
      <c r="P6" s="561">
        <v>8</v>
      </c>
      <c r="Q6" s="561">
        <v>9</v>
      </c>
      <c r="R6" s="561">
        <v>10</v>
      </c>
      <c r="S6" s="561">
        <v>11</v>
      </c>
      <c r="T6" s="561">
        <v>12</v>
      </c>
      <c r="U6" s="561">
        <v>13</v>
      </c>
      <c r="V6" s="561">
        <v>14</v>
      </c>
      <c r="W6" s="561">
        <v>15</v>
      </c>
      <c r="X6" s="561">
        <v>16</v>
      </c>
      <c r="Y6" s="561">
        <v>17</v>
      </c>
      <c r="Z6" s="561">
        <v>18</v>
      </c>
      <c r="AA6" s="561">
        <v>19</v>
      </c>
      <c r="AB6" s="561">
        <v>20</v>
      </c>
      <c r="AC6" s="561">
        <v>21</v>
      </c>
      <c r="AD6" s="561">
        <v>22</v>
      </c>
      <c r="AE6" s="561">
        <v>23</v>
      </c>
      <c r="AF6" s="561">
        <v>24</v>
      </c>
      <c r="AG6" s="561">
        <v>25</v>
      </c>
      <c r="AH6" s="561">
        <v>26</v>
      </c>
      <c r="AI6" s="561">
        <v>27</v>
      </c>
      <c r="AJ6" s="561">
        <v>28</v>
      </c>
      <c r="AK6" s="561">
        <v>29</v>
      </c>
      <c r="AL6" s="562">
        <v>30</v>
      </c>
      <c r="AM6" s="468"/>
      <c r="AN6" s="467"/>
      <c r="AP6" s="545">
        <v>3</v>
      </c>
      <c r="AQ6" s="545">
        <v>1</v>
      </c>
      <c r="AR6" s="545">
        <v>5</v>
      </c>
    </row>
    <row r="7" spans="1:44" ht="15.6">
      <c r="A7" s="470" t="s">
        <v>63</v>
      </c>
      <c r="B7" s="478" t="s">
        <v>68</v>
      </c>
      <c r="C7" s="564">
        <v>100</v>
      </c>
      <c r="E7" s="467"/>
      <c r="F7" s="468"/>
      <c r="G7" s="550" t="s">
        <v>17</v>
      </c>
      <c r="H7" s="529"/>
      <c r="I7" s="547">
        <f>(1+$C$29)^(I6-1)</f>
        <v>1</v>
      </c>
      <c r="J7" s="547">
        <f t="shared" ref="J7:AL7" si="0">(1+$C$29)^(J6-1)</f>
        <v>1.0229999999999999</v>
      </c>
      <c r="K7" s="547">
        <f t="shared" si="0"/>
        <v>1.0465289999999998</v>
      </c>
      <c r="L7" s="547">
        <f t="shared" si="0"/>
        <v>1.0705991669999997</v>
      </c>
      <c r="M7" s="547">
        <f t="shared" si="0"/>
        <v>1.0952229478409996</v>
      </c>
      <c r="N7" s="547">
        <f t="shared" si="0"/>
        <v>1.1204130756413424</v>
      </c>
      <c r="O7" s="547">
        <f t="shared" si="0"/>
        <v>1.1461825763810933</v>
      </c>
      <c r="P7" s="547">
        <f t="shared" si="0"/>
        <v>1.1725447756378582</v>
      </c>
      <c r="Q7" s="547">
        <f t="shared" si="0"/>
        <v>1.1995133054775289</v>
      </c>
      <c r="R7" s="547">
        <f t="shared" si="0"/>
        <v>1.2271021115035119</v>
      </c>
      <c r="S7" s="547">
        <f t="shared" si="0"/>
        <v>1.2553254600680925</v>
      </c>
      <c r="T7" s="547">
        <f t="shared" si="0"/>
        <v>1.2841979456496586</v>
      </c>
      <c r="U7" s="547">
        <f t="shared" si="0"/>
        <v>1.3137344983996007</v>
      </c>
      <c r="V7" s="547">
        <f t="shared" si="0"/>
        <v>1.3439503918627913</v>
      </c>
      <c r="W7" s="547">
        <f t="shared" si="0"/>
        <v>1.3748612508756355</v>
      </c>
      <c r="X7" s="547">
        <f t="shared" si="0"/>
        <v>1.4064830596457747</v>
      </c>
      <c r="Y7" s="547">
        <f t="shared" si="0"/>
        <v>1.4388321700176274</v>
      </c>
      <c r="Z7" s="547">
        <f t="shared" si="0"/>
        <v>1.4719253099280327</v>
      </c>
      <c r="AA7" s="547">
        <f t="shared" si="0"/>
        <v>1.5057795920563775</v>
      </c>
      <c r="AB7" s="547">
        <f t="shared" si="0"/>
        <v>1.5404125226736738</v>
      </c>
      <c r="AC7" s="547">
        <f t="shared" si="0"/>
        <v>1.5758420106951683</v>
      </c>
      <c r="AD7" s="547">
        <f t="shared" si="0"/>
        <v>1.6120863769411569</v>
      </c>
      <c r="AE7" s="547">
        <f t="shared" si="0"/>
        <v>1.6491643636108035</v>
      </c>
      <c r="AF7" s="547">
        <f t="shared" si="0"/>
        <v>1.6870951439738515</v>
      </c>
      <c r="AG7" s="547">
        <f t="shared" si="0"/>
        <v>1.7258983322852501</v>
      </c>
      <c r="AH7" s="547">
        <f t="shared" si="0"/>
        <v>1.7655939939278107</v>
      </c>
      <c r="AI7" s="547">
        <f t="shared" si="0"/>
        <v>1.8062026557881501</v>
      </c>
      <c r="AJ7" s="547">
        <f t="shared" si="0"/>
        <v>1.8477453168712774</v>
      </c>
      <c r="AK7" s="547">
        <f t="shared" si="0"/>
        <v>1.8902434591593167</v>
      </c>
      <c r="AL7" s="454">
        <f t="shared" si="0"/>
        <v>1.9337190587199808</v>
      </c>
      <c r="AM7" s="468"/>
      <c r="AN7" s="467"/>
      <c r="AP7" s="545">
        <v>5</v>
      </c>
      <c r="AQ7" s="545">
        <v>2</v>
      </c>
      <c r="AR7" s="545">
        <v>7</v>
      </c>
    </row>
    <row r="8" spans="1:44" ht="16.2" thickBot="1">
      <c r="A8" s="474" t="s">
        <v>66</v>
      </c>
      <c r="B8" s="478" t="s">
        <v>65</v>
      </c>
      <c r="C8" s="475">
        <v>0.4</v>
      </c>
      <c r="D8" s="532"/>
      <c r="E8" s="467"/>
      <c r="F8" s="468"/>
      <c r="G8" s="448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61"/>
      <c r="AM8" s="468"/>
      <c r="AN8" s="467"/>
      <c r="AP8" s="545">
        <v>7</v>
      </c>
      <c r="AQ8" s="545">
        <v>3</v>
      </c>
    </row>
    <row r="9" spans="1:44" ht="16.2" thickBot="1">
      <c r="A9" s="474" t="s">
        <v>67</v>
      </c>
      <c r="B9" s="478" t="s">
        <v>65</v>
      </c>
      <c r="C9" s="475">
        <v>0.4</v>
      </c>
      <c r="D9" s="532"/>
      <c r="E9" s="467"/>
      <c r="F9" s="468"/>
      <c r="G9" s="487" t="s">
        <v>18</v>
      </c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3"/>
      <c r="AM9" s="468"/>
      <c r="AN9" s="467"/>
      <c r="AP9" s="545">
        <v>10</v>
      </c>
      <c r="AQ9" s="545">
        <v>4</v>
      </c>
    </row>
    <row r="10" spans="1:44" ht="15.6">
      <c r="A10" s="495" t="s">
        <v>3</v>
      </c>
      <c r="B10" s="508"/>
      <c r="C10" s="483"/>
      <c r="D10" s="532"/>
      <c r="E10" s="467"/>
      <c r="F10" s="468"/>
      <c r="G10" s="541" t="s">
        <v>3</v>
      </c>
      <c r="H10" s="441"/>
      <c r="I10" s="428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61"/>
      <c r="AM10" s="468"/>
      <c r="AN10" s="467"/>
      <c r="AP10" s="545">
        <v>15</v>
      </c>
      <c r="AQ10" s="545">
        <v>5</v>
      </c>
    </row>
    <row r="11" spans="1:44" ht="15.6">
      <c r="A11" s="474" t="s">
        <v>69</v>
      </c>
      <c r="B11" s="509" t="s">
        <v>80</v>
      </c>
      <c r="C11" s="476">
        <v>50</v>
      </c>
      <c r="D11" s="532"/>
      <c r="E11" s="467"/>
      <c r="F11" s="468"/>
      <c r="G11" s="550" t="s">
        <v>19</v>
      </c>
      <c r="H11" s="529"/>
      <c r="I11" s="536">
        <f t="shared" ref="I11:AL11" si="1">IF(I6&gt;$C$32,0,($C$16+$C$7*$C$8*$AQ$39*IF($C$21&lt;&gt;0,MAX((($C$21+1-I6)/$C$21),0),0)*12*1000)*$C$7*$C$8*I7*(1+0.0025)^(I6-1))</f>
        <v>4912332.7999999998</v>
      </c>
      <c r="J11" s="536">
        <f t="shared" si="1"/>
        <v>5089827.7608287996</v>
      </c>
      <c r="K11" s="536">
        <f t="shared" si="1"/>
        <v>5273186.7105198251</v>
      </c>
      <c r="L11" s="536">
        <f t="shared" si="1"/>
        <v>5462593.449674678</v>
      </c>
      <c r="M11" s="536">
        <f t="shared" si="1"/>
        <v>5658237.3435884146</v>
      </c>
      <c r="N11" s="536">
        <f t="shared" si="1"/>
        <v>5860313.4866329106</v>
      </c>
      <c r="O11" s="536">
        <f t="shared" si="1"/>
        <v>6010088.4485675301</v>
      </c>
      <c r="P11" s="536">
        <f t="shared" si="1"/>
        <v>6163691.284091793</v>
      </c>
      <c r="Q11" s="536">
        <f t="shared" si="1"/>
        <v>6321219.8240849683</v>
      </c>
      <c r="R11" s="536">
        <f t="shared" si="1"/>
        <v>6482774.3997390196</v>
      </c>
      <c r="S11" s="536">
        <f t="shared" si="1"/>
        <v>6648457.9064603485</v>
      </c>
      <c r="T11" s="536">
        <f t="shared" si="1"/>
        <v>6818375.8694047071</v>
      </c>
      <c r="U11" s="536">
        <f t="shared" si="1"/>
        <v>6992636.5106870178</v>
      </c>
      <c r="V11" s="536">
        <f t="shared" si="1"/>
        <v>7171350.818308901</v>
      </c>
      <c r="W11" s="536">
        <f t="shared" si="1"/>
        <v>7354632.616847828</v>
      </c>
      <c r="X11" s="536">
        <f t="shared" si="1"/>
        <v>7542598.6399529148</v>
      </c>
      <c r="Y11" s="536">
        <f t="shared" si="1"/>
        <v>7735368.6046935115</v>
      </c>
      <c r="Z11" s="536">
        <f t="shared" si="1"/>
        <v>7933065.2878079638</v>
      </c>
      <c r="AA11" s="536">
        <f t="shared" si="1"/>
        <v>8135814.6039011171</v>
      </c>
      <c r="AB11" s="536">
        <f t="shared" si="1"/>
        <v>8343745.6856403165</v>
      </c>
      <c r="AC11" s="536">
        <f t="shared" si="1"/>
        <v>8556990.9660010692</v>
      </c>
      <c r="AD11" s="536">
        <f t="shared" si="1"/>
        <v>8775686.2626146395</v>
      </c>
      <c r="AE11" s="536">
        <f t="shared" si="1"/>
        <v>8999970.8642714117</v>
      </c>
      <c r="AF11" s="536">
        <f t="shared" si="1"/>
        <v>9229987.6196350269</v>
      </c>
      <c r="AG11" s="536">
        <f t="shared" si="1"/>
        <v>9465883.0282238461</v>
      </c>
      <c r="AH11" s="536">
        <f t="shared" si="1"/>
        <v>0</v>
      </c>
      <c r="AI11" s="536">
        <f t="shared" si="1"/>
        <v>0</v>
      </c>
      <c r="AJ11" s="536">
        <f t="shared" si="1"/>
        <v>0</v>
      </c>
      <c r="AK11" s="536">
        <f t="shared" si="1"/>
        <v>0</v>
      </c>
      <c r="AL11" s="515">
        <f t="shared" si="1"/>
        <v>0</v>
      </c>
      <c r="AM11" s="468"/>
      <c r="AN11" s="467"/>
      <c r="AP11" s="545">
        <v>20</v>
      </c>
      <c r="AQ11" s="545">
        <v>6</v>
      </c>
    </row>
    <row r="12" spans="1:44" ht="15.6">
      <c r="A12" s="474" t="s">
        <v>100</v>
      </c>
      <c r="B12" s="569" t="s">
        <v>80</v>
      </c>
      <c r="C12" s="476">
        <v>23</v>
      </c>
      <c r="D12" s="532"/>
      <c r="E12" s="467"/>
      <c r="F12" s="468"/>
      <c r="G12" s="551" t="s">
        <v>2</v>
      </c>
      <c r="H12" s="528"/>
      <c r="I12" s="534">
        <f t="shared" ref="I12:AL12" si="2">MAX(0,IF(I$6&gt;$C$32,0,IF($C$22=0,$C$14,IF($C$22=1,$C$14*I7,$C$14*(I7^$C$22)))))</f>
        <v>17520000</v>
      </c>
      <c r="J12" s="534">
        <f t="shared" si="2"/>
        <v>17922960</v>
      </c>
      <c r="K12" s="534">
        <f t="shared" si="2"/>
        <v>18335188.079999998</v>
      </c>
      <c r="L12" s="534">
        <f t="shared" si="2"/>
        <v>18756897.405839995</v>
      </c>
      <c r="M12" s="534">
        <f t="shared" si="2"/>
        <v>19188306.046174314</v>
      </c>
      <c r="N12" s="534">
        <f t="shared" si="2"/>
        <v>19629637.085236318</v>
      </c>
      <c r="O12" s="534">
        <f t="shared" si="2"/>
        <v>20081118.738196757</v>
      </c>
      <c r="P12" s="534">
        <f t="shared" si="2"/>
        <v>20542984.469175275</v>
      </c>
      <c r="Q12" s="534">
        <f t="shared" si="2"/>
        <v>21015473.111966304</v>
      </c>
      <c r="R12" s="534">
        <f t="shared" si="2"/>
        <v>21498828.993541528</v>
      </c>
      <c r="S12" s="534">
        <f t="shared" si="2"/>
        <v>21993302.06039298</v>
      </c>
      <c r="T12" s="534">
        <f t="shared" si="2"/>
        <v>22499148.00778202</v>
      </c>
      <c r="U12" s="534">
        <f t="shared" si="2"/>
        <v>23016628.411961004</v>
      </c>
      <c r="V12" s="534">
        <f t="shared" si="2"/>
        <v>23546010.865436103</v>
      </c>
      <c r="W12" s="534">
        <f t="shared" si="2"/>
        <v>24087569.115341134</v>
      </c>
      <c r="X12" s="534">
        <f t="shared" si="2"/>
        <v>24641583.204993974</v>
      </c>
      <c r="Y12" s="534">
        <f t="shared" si="2"/>
        <v>25208339.618708834</v>
      </c>
      <c r="Z12" s="534">
        <f t="shared" si="2"/>
        <v>25788131.429939132</v>
      </c>
      <c r="AA12" s="534">
        <f t="shared" si="2"/>
        <v>26381258.452827733</v>
      </c>
      <c r="AB12" s="534">
        <f t="shared" si="2"/>
        <v>26988027.397242766</v>
      </c>
      <c r="AC12" s="534">
        <f t="shared" si="2"/>
        <v>27608752.027379349</v>
      </c>
      <c r="AD12" s="534">
        <f t="shared" si="2"/>
        <v>28243753.324009068</v>
      </c>
      <c r="AE12" s="534">
        <f t="shared" si="2"/>
        <v>28893359.650461279</v>
      </c>
      <c r="AF12" s="534">
        <f t="shared" si="2"/>
        <v>29557906.92242188</v>
      </c>
      <c r="AG12" s="534">
        <f t="shared" si="2"/>
        <v>30237738.781637583</v>
      </c>
      <c r="AH12" s="534">
        <f t="shared" si="2"/>
        <v>0</v>
      </c>
      <c r="AI12" s="534">
        <f t="shared" si="2"/>
        <v>0</v>
      </c>
      <c r="AJ12" s="534">
        <f t="shared" si="2"/>
        <v>0</v>
      </c>
      <c r="AK12" s="534">
        <f t="shared" si="2"/>
        <v>0</v>
      </c>
      <c r="AL12" s="465">
        <f t="shared" si="2"/>
        <v>0</v>
      </c>
      <c r="AM12" s="468"/>
      <c r="AN12" s="467"/>
      <c r="AP12" s="545"/>
      <c r="AQ12" s="545">
        <v>7</v>
      </c>
    </row>
    <row r="13" spans="1:44" ht="15.6">
      <c r="A13" s="474" t="s">
        <v>134</v>
      </c>
      <c r="B13" s="569" t="s">
        <v>80</v>
      </c>
      <c r="C13" s="476">
        <v>25</v>
      </c>
      <c r="D13" s="532"/>
      <c r="E13" s="467"/>
      <c r="F13" s="468"/>
      <c r="G13" s="551" t="s">
        <v>132</v>
      </c>
      <c r="H13" s="528"/>
      <c r="I13" s="534">
        <f t="shared" ref="I13:AL13" si="3">MAX(0,IF(I$6&gt;$C$32,0,IF($C$22=0,$C$15,IF($C$22=1,$C$15*I7,$C$15*(I7^$C$22)))))</f>
        <v>8760000</v>
      </c>
      <c r="J13" s="534">
        <f t="shared" si="3"/>
        <v>8961480</v>
      </c>
      <c r="K13" s="534">
        <f t="shared" si="3"/>
        <v>9167594.0399999991</v>
      </c>
      <c r="L13" s="534">
        <f t="shared" si="3"/>
        <v>9378448.7029199973</v>
      </c>
      <c r="M13" s="534">
        <f t="shared" si="3"/>
        <v>9594153.0230871569</v>
      </c>
      <c r="N13" s="534">
        <f t="shared" si="3"/>
        <v>9814818.5426181592</v>
      </c>
      <c r="O13" s="534">
        <f t="shared" si="3"/>
        <v>10040559.369098378</v>
      </c>
      <c r="P13" s="534">
        <f t="shared" si="3"/>
        <v>10271492.234587638</v>
      </c>
      <c r="Q13" s="534">
        <f t="shared" si="3"/>
        <v>10507736.555983152</v>
      </c>
      <c r="R13" s="534">
        <f t="shared" si="3"/>
        <v>10749414.496770764</v>
      </c>
      <c r="S13" s="534">
        <f t="shared" si="3"/>
        <v>10996651.03019649</v>
      </c>
      <c r="T13" s="534">
        <f t="shared" si="3"/>
        <v>11249574.00389101</v>
      </c>
      <c r="U13" s="534">
        <f t="shared" si="3"/>
        <v>11508314.205980502</v>
      </c>
      <c r="V13" s="534">
        <f t="shared" si="3"/>
        <v>11773005.432718052</v>
      </c>
      <c r="W13" s="534">
        <f t="shared" si="3"/>
        <v>12043784.557670567</v>
      </c>
      <c r="X13" s="534">
        <f t="shared" si="3"/>
        <v>12320791.602496987</v>
      </c>
      <c r="Y13" s="534">
        <f t="shared" si="3"/>
        <v>12604169.809354417</v>
      </c>
      <c r="Z13" s="534">
        <f t="shared" si="3"/>
        <v>12894065.714969566</v>
      </c>
      <c r="AA13" s="534">
        <f t="shared" si="3"/>
        <v>13190629.226413867</v>
      </c>
      <c r="AB13" s="534">
        <f t="shared" si="3"/>
        <v>13494013.698621383</v>
      </c>
      <c r="AC13" s="534">
        <f t="shared" si="3"/>
        <v>13804376.013689674</v>
      </c>
      <c r="AD13" s="534">
        <f t="shared" si="3"/>
        <v>14121876.662004534</v>
      </c>
      <c r="AE13" s="534">
        <f t="shared" si="3"/>
        <v>14446679.825230639</v>
      </c>
      <c r="AF13" s="534">
        <f t="shared" si="3"/>
        <v>14778953.46121094</v>
      </c>
      <c r="AG13" s="534">
        <f t="shared" si="3"/>
        <v>15118869.390818791</v>
      </c>
      <c r="AH13" s="534">
        <f t="shared" si="3"/>
        <v>0</v>
      </c>
      <c r="AI13" s="534">
        <f t="shared" si="3"/>
        <v>0</v>
      </c>
      <c r="AJ13" s="534">
        <f t="shared" si="3"/>
        <v>0</v>
      </c>
      <c r="AK13" s="534">
        <f t="shared" si="3"/>
        <v>0</v>
      </c>
      <c r="AL13" s="465">
        <f t="shared" si="3"/>
        <v>0</v>
      </c>
      <c r="AM13" s="468"/>
      <c r="AN13" s="467"/>
      <c r="AP13" s="545"/>
      <c r="AQ13" s="545">
        <v>8</v>
      </c>
    </row>
    <row r="14" spans="1:44" ht="16.2" thickBot="1">
      <c r="A14" s="470" t="s">
        <v>70</v>
      </c>
      <c r="B14" s="420" t="s">
        <v>89</v>
      </c>
      <c r="C14" s="456">
        <f>C11*C9*C7*8760</f>
        <v>17520000</v>
      </c>
      <c r="D14" s="532"/>
      <c r="E14" s="467"/>
      <c r="F14" s="468"/>
      <c r="G14" s="443" t="s">
        <v>20</v>
      </c>
      <c r="H14" s="527"/>
      <c r="I14" s="433">
        <f>SUM(I11:I13)</f>
        <v>31192332.800000001</v>
      </c>
      <c r="J14" s="433">
        <f t="shared" ref="J14:AL14" si="4">SUM(J11:J13)</f>
        <v>31974267.7608288</v>
      </c>
      <c r="K14" s="433">
        <f t="shared" si="4"/>
        <v>32775968.830519821</v>
      </c>
      <c r="L14" s="433">
        <f t="shared" si="4"/>
        <v>33597939.558434665</v>
      </c>
      <c r="M14" s="433">
        <f t="shared" si="4"/>
        <v>34440696.412849888</v>
      </c>
      <c r="N14" s="433">
        <f t="shared" si="4"/>
        <v>35304769.114487387</v>
      </c>
      <c r="O14" s="433">
        <f t="shared" si="4"/>
        <v>36131766.555862665</v>
      </c>
      <c r="P14" s="433">
        <f t="shared" si="4"/>
        <v>36978167.987854704</v>
      </c>
      <c r="Q14" s="433">
        <f t="shared" si="4"/>
        <v>37844429.49203442</v>
      </c>
      <c r="R14" s="433">
        <f t="shared" si="4"/>
        <v>38731017.890051313</v>
      </c>
      <c r="S14" s="433">
        <f t="shared" si="4"/>
        <v>39638410.997049816</v>
      </c>
      <c r="T14" s="433">
        <f t="shared" si="4"/>
        <v>40567097.881077737</v>
      </c>
      <c r="U14" s="433">
        <f t="shared" si="4"/>
        <v>41517579.128628522</v>
      </c>
      <c r="V14" s="433">
        <f t="shared" si="4"/>
        <v>42490367.116463058</v>
      </c>
      <c r="W14" s="433">
        <f t="shared" si="4"/>
        <v>43485986.289859533</v>
      </c>
      <c r="X14" s="433">
        <f t="shared" si="4"/>
        <v>44504973.44744388</v>
      </c>
      <c r="Y14" s="433">
        <f t="shared" si="4"/>
        <v>45547878.032756761</v>
      </c>
      <c r="Z14" s="433">
        <f t="shared" si="4"/>
        <v>46615262.43271666</v>
      </c>
      <c r="AA14" s="433">
        <f t="shared" si="4"/>
        <v>47707702.283142716</v>
      </c>
      <c r="AB14" s="433">
        <f t="shared" si="4"/>
        <v>48825786.781504467</v>
      </c>
      <c r="AC14" s="433">
        <f t="shared" si="4"/>
        <v>49970119.007070094</v>
      </c>
      <c r="AD14" s="433">
        <f t="shared" si="4"/>
        <v>51141316.248628244</v>
      </c>
      <c r="AE14" s="433">
        <f t="shared" si="4"/>
        <v>52340010.339963332</v>
      </c>
      <c r="AF14" s="433">
        <f t="shared" si="4"/>
        <v>53566848.00326784</v>
      </c>
      <c r="AG14" s="433">
        <f t="shared" si="4"/>
        <v>54822491.200680219</v>
      </c>
      <c r="AH14" s="433">
        <f t="shared" si="4"/>
        <v>0</v>
      </c>
      <c r="AI14" s="433">
        <f t="shared" si="4"/>
        <v>0</v>
      </c>
      <c r="AJ14" s="433">
        <f t="shared" si="4"/>
        <v>0</v>
      </c>
      <c r="AK14" s="433">
        <f t="shared" si="4"/>
        <v>0</v>
      </c>
      <c r="AL14" s="503">
        <f t="shared" si="4"/>
        <v>0</v>
      </c>
      <c r="AM14" s="468"/>
      <c r="AN14" s="467"/>
      <c r="AP14" s="545"/>
      <c r="AQ14" s="545">
        <v>9</v>
      </c>
    </row>
    <row r="15" spans="1:44" ht="16.2" thickTop="1">
      <c r="A15" s="474" t="s">
        <v>132</v>
      </c>
      <c r="B15" s="420" t="s">
        <v>89</v>
      </c>
      <c r="C15" s="456">
        <f>C13*C9*C7*8760</f>
        <v>8760000</v>
      </c>
      <c r="D15" s="422"/>
      <c r="E15" s="467"/>
      <c r="F15" s="468"/>
      <c r="G15" s="444" t="s">
        <v>4</v>
      </c>
      <c r="H15" s="439"/>
      <c r="I15" s="533"/>
      <c r="J15" s="418"/>
      <c r="K15" s="418"/>
      <c r="L15" s="418"/>
      <c r="M15" s="418"/>
      <c r="N15" s="418"/>
      <c r="O15" s="418"/>
      <c r="P15" s="418"/>
      <c r="Q15" s="418"/>
      <c r="R15" s="418"/>
      <c r="S15" s="481"/>
      <c r="T15" s="496"/>
      <c r="U15" s="481"/>
      <c r="V15" s="481"/>
      <c r="W15" s="481"/>
      <c r="X15" s="481"/>
      <c r="Y15" s="481"/>
      <c r="Z15" s="418"/>
      <c r="AA15" s="418"/>
      <c r="AB15" s="418"/>
      <c r="AC15" s="418"/>
      <c r="AD15" s="418"/>
      <c r="AE15" s="418"/>
      <c r="AF15" s="418"/>
      <c r="AG15" s="418"/>
      <c r="AH15" s="418"/>
      <c r="AI15" s="481"/>
      <c r="AJ15" s="496"/>
      <c r="AK15" s="481"/>
      <c r="AL15" s="459"/>
      <c r="AM15" s="468"/>
      <c r="AN15" s="467"/>
      <c r="AP15" s="545"/>
      <c r="AQ15" s="545">
        <v>10</v>
      </c>
    </row>
    <row r="16" spans="1:44" ht="15.6">
      <c r="A16" s="474" t="s">
        <v>47</v>
      </c>
      <c r="B16" s="420" t="s">
        <v>87</v>
      </c>
      <c r="C16" s="506">
        <f>'ICAP Price&amp;Impact'!O47</f>
        <v>129139.99999999999</v>
      </c>
      <c r="E16" s="467"/>
      <c r="F16" s="468"/>
      <c r="G16" s="550" t="s">
        <v>5</v>
      </c>
      <c r="H16" s="529"/>
      <c r="I16" s="536">
        <f>IF(I6&gt;$C$32,0,-$C$36)</f>
        <v>-11000000</v>
      </c>
      <c r="J16" s="523">
        <f t="shared" ref="J16:AL16" si="5">IF(J6&gt;$C$32,0,$I$16*J7)</f>
        <v>-11252999.999999998</v>
      </c>
      <c r="K16" s="523">
        <f t="shared" si="5"/>
        <v>-11511818.999999998</v>
      </c>
      <c r="L16" s="523">
        <f t="shared" si="5"/>
        <v>-11776590.836999996</v>
      </c>
      <c r="M16" s="523">
        <f t="shared" si="5"/>
        <v>-12047452.426250996</v>
      </c>
      <c r="N16" s="523">
        <f t="shared" si="5"/>
        <v>-12324543.832054766</v>
      </c>
      <c r="O16" s="523">
        <f t="shared" si="5"/>
        <v>-12608008.340192027</v>
      </c>
      <c r="P16" s="523">
        <f t="shared" si="5"/>
        <v>-12897992.532016439</v>
      </c>
      <c r="Q16" s="523">
        <f t="shared" si="5"/>
        <v>-13194646.360252818</v>
      </c>
      <c r="R16" s="523">
        <f t="shared" si="5"/>
        <v>-13498123.22653863</v>
      </c>
      <c r="S16" s="497">
        <f t="shared" si="5"/>
        <v>-13808580.060749019</v>
      </c>
      <c r="T16" s="497">
        <f t="shared" si="5"/>
        <v>-14126177.402146244</v>
      </c>
      <c r="U16" s="497">
        <f t="shared" si="5"/>
        <v>-14451079.482395608</v>
      </c>
      <c r="V16" s="497">
        <f t="shared" si="5"/>
        <v>-14783454.310490705</v>
      </c>
      <c r="W16" s="497">
        <f t="shared" si="5"/>
        <v>-15123473.75963199</v>
      </c>
      <c r="X16" s="497">
        <f t="shared" si="5"/>
        <v>-15471313.656103522</v>
      </c>
      <c r="Y16" s="497">
        <f t="shared" si="5"/>
        <v>-15827153.870193902</v>
      </c>
      <c r="Z16" s="497">
        <f t="shared" si="5"/>
        <v>-16191178.409208359</v>
      </c>
      <c r="AA16" s="497">
        <f t="shared" si="5"/>
        <v>-16563575.512620153</v>
      </c>
      <c r="AB16" s="497">
        <f t="shared" si="5"/>
        <v>-16944537.749410413</v>
      </c>
      <c r="AC16" s="497">
        <f t="shared" si="5"/>
        <v>-17334262.117646851</v>
      </c>
      <c r="AD16" s="497">
        <f t="shared" si="5"/>
        <v>-17732950.146352727</v>
      </c>
      <c r="AE16" s="497">
        <f t="shared" si="5"/>
        <v>-18140807.999718837</v>
      </c>
      <c r="AF16" s="497">
        <f t="shared" si="5"/>
        <v>-18558046.583712365</v>
      </c>
      <c r="AG16" s="497">
        <f t="shared" si="5"/>
        <v>-18984881.655137751</v>
      </c>
      <c r="AH16" s="497">
        <f t="shared" si="5"/>
        <v>0</v>
      </c>
      <c r="AI16" s="497">
        <f t="shared" si="5"/>
        <v>0</v>
      </c>
      <c r="AJ16" s="497">
        <f t="shared" si="5"/>
        <v>0</v>
      </c>
      <c r="AK16" s="497">
        <f t="shared" si="5"/>
        <v>0</v>
      </c>
      <c r="AL16" s="458">
        <f t="shared" si="5"/>
        <v>0</v>
      </c>
      <c r="AM16" s="468"/>
      <c r="AN16" s="467"/>
      <c r="AQ16" s="545">
        <v>11</v>
      </c>
    </row>
    <row r="17" spans="1:43" ht="15.6">
      <c r="A17" s="474" t="s">
        <v>101</v>
      </c>
      <c r="B17" s="530" t="s">
        <v>65</v>
      </c>
      <c r="C17" s="457">
        <v>1</v>
      </c>
      <c r="D17" s="422"/>
      <c r="E17" s="467"/>
      <c r="F17" s="468"/>
      <c r="G17" s="550" t="s">
        <v>6</v>
      </c>
      <c r="H17" s="529"/>
      <c r="I17" s="534">
        <f>IF(I6&gt;$C$32,0,-$C$37)</f>
        <v>0</v>
      </c>
      <c r="J17" s="440">
        <f t="shared" ref="J17:AL17" si="6">IF(J6&gt;$C$32,0,$I$17*J7)</f>
        <v>0</v>
      </c>
      <c r="K17" s="440">
        <f t="shared" si="6"/>
        <v>0</v>
      </c>
      <c r="L17" s="440">
        <f t="shared" si="6"/>
        <v>0</v>
      </c>
      <c r="M17" s="440">
        <f t="shared" si="6"/>
        <v>0</v>
      </c>
      <c r="N17" s="440">
        <f t="shared" si="6"/>
        <v>0</v>
      </c>
      <c r="O17" s="440">
        <f t="shared" si="6"/>
        <v>0</v>
      </c>
      <c r="P17" s="440">
        <f t="shared" si="6"/>
        <v>0</v>
      </c>
      <c r="Q17" s="440">
        <f t="shared" si="6"/>
        <v>0</v>
      </c>
      <c r="R17" s="440">
        <f t="shared" si="6"/>
        <v>0</v>
      </c>
      <c r="S17" s="507">
        <f t="shared" si="6"/>
        <v>0</v>
      </c>
      <c r="T17" s="507">
        <f t="shared" si="6"/>
        <v>0</v>
      </c>
      <c r="U17" s="507">
        <f t="shared" si="6"/>
        <v>0</v>
      </c>
      <c r="V17" s="507">
        <f t="shared" si="6"/>
        <v>0</v>
      </c>
      <c r="W17" s="507">
        <f t="shared" si="6"/>
        <v>0</v>
      </c>
      <c r="X17" s="507">
        <f t="shared" si="6"/>
        <v>0</v>
      </c>
      <c r="Y17" s="507">
        <f t="shared" si="6"/>
        <v>0</v>
      </c>
      <c r="Z17" s="507">
        <f t="shared" si="6"/>
        <v>0</v>
      </c>
      <c r="AA17" s="507">
        <f t="shared" si="6"/>
        <v>0</v>
      </c>
      <c r="AB17" s="507">
        <f t="shared" si="6"/>
        <v>0</v>
      </c>
      <c r="AC17" s="507">
        <f t="shared" si="6"/>
        <v>0</v>
      </c>
      <c r="AD17" s="507">
        <f t="shared" si="6"/>
        <v>0</v>
      </c>
      <c r="AE17" s="507">
        <f t="shared" si="6"/>
        <v>0</v>
      </c>
      <c r="AF17" s="507">
        <f t="shared" si="6"/>
        <v>0</v>
      </c>
      <c r="AG17" s="507">
        <f t="shared" si="6"/>
        <v>0</v>
      </c>
      <c r="AH17" s="507">
        <f t="shared" si="6"/>
        <v>0</v>
      </c>
      <c r="AI17" s="507">
        <f t="shared" si="6"/>
        <v>0</v>
      </c>
      <c r="AJ17" s="507">
        <f t="shared" si="6"/>
        <v>0</v>
      </c>
      <c r="AK17" s="507">
        <f t="shared" si="6"/>
        <v>0</v>
      </c>
      <c r="AL17" s="458">
        <f t="shared" si="6"/>
        <v>0</v>
      </c>
      <c r="AM17" s="468"/>
      <c r="AN17" s="467"/>
      <c r="AQ17" s="545">
        <v>12</v>
      </c>
    </row>
    <row r="18" spans="1:43" ht="15.6">
      <c r="A18" s="474" t="s">
        <v>102</v>
      </c>
      <c r="B18" s="530" t="s">
        <v>65</v>
      </c>
      <c r="C18" s="457">
        <v>1</v>
      </c>
      <c r="D18" s="422"/>
      <c r="E18" s="467"/>
      <c r="F18" s="468"/>
      <c r="G18" s="550" t="s">
        <v>7</v>
      </c>
      <c r="H18" s="529"/>
      <c r="I18" s="534">
        <f t="shared" ref="I18:AL18" si="7">IF(I6&gt;$C$32,0,-$C$38)</f>
        <v>0</v>
      </c>
      <c r="J18" s="534">
        <f t="shared" si="7"/>
        <v>0</v>
      </c>
      <c r="K18" s="534">
        <f t="shared" si="7"/>
        <v>0</v>
      </c>
      <c r="L18" s="534">
        <f t="shared" si="7"/>
        <v>0</v>
      </c>
      <c r="M18" s="534">
        <f t="shared" si="7"/>
        <v>0</v>
      </c>
      <c r="N18" s="534">
        <f t="shared" si="7"/>
        <v>0</v>
      </c>
      <c r="O18" s="534">
        <f t="shared" si="7"/>
        <v>0</v>
      </c>
      <c r="P18" s="534">
        <f t="shared" si="7"/>
        <v>0</v>
      </c>
      <c r="Q18" s="534">
        <f t="shared" si="7"/>
        <v>0</v>
      </c>
      <c r="R18" s="534">
        <f t="shared" si="7"/>
        <v>0</v>
      </c>
      <c r="S18" s="489">
        <f t="shared" si="7"/>
        <v>0</v>
      </c>
      <c r="T18" s="489">
        <f t="shared" si="7"/>
        <v>0</v>
      </c>
      <c r="U18" s="489">
        <f t="shared" si="7"/>
        <v>0</v>
      </c>
      <c r="V18" s="489">
        <f t="shared" si="7"/>
        <v>0</v>
      </c>
      <c r="W18" s="489">
        <f t="shared" si="7"/>
        <v>0</v>
      </c>
      <c r="X18" s="489">
        <f t="shared" si="7"/>
        <v>0</v>
      </c>
      <c r="Y18" s="489">
        <f t="shared" si="7"/>
        <v>0</v>
      </c>
      <c r="Z18" s="534">
        <f t="shared" si="7"/>
        <v>0</v>
      </c>
      <c r="AA18" s="534">
        <f t="shared" si="7"/>
        <v>0</v>
      </c>
      <c r="AB18" s="534">
        <f t="shared" si="7"/>
        <v>0</v>
      </c>
      <c r="AC18" s="534">
        <f t="shared" si="7"/>
        <v>0</v>
      </c>
      <c r="AD18" s="534">
        <f t="shared" si="7"/>
        <v>0</v>
      </c>
      <c r="AE18" s="534">
        <f t="shared" si="7"/>
        <v>0</v>
      </c>
      <c r="AF18" s="534">
        <f t="shared" si="7"/>
        <v>0</v>
      </c>
      <c r="AG18" s="534">
        <f t="shared" si="7"/>
        <v>0</v>
      </c>
      <c r="AH18" s="534">
        <f t="shared" si="7"/>
        <v>0</v>
      </c>
      <c r="AI18" s="489">
        <f t="shared" si="7"/>
        <v>0</v>
      </c>
      <c r="AJ18" s="489">
        <f t="shared" si="7"/>
        <v>0</v>
      </c>
      <c r="AK18" s="489">
        <f t="shared" si="7"/>
        <v>0</v>
      </c>
      <c r="AL18" s="458">
        <f t="shared" si="7"/>
        <v>0</v>
      </c>
      <c r="AM18" s="468"/>
      <c r="AN18" s="467"/>
      <c r="AQ18" s="545">
        <v>13</v>
      </c>
    </row>
    <row r="19" spans="1:43" ht="15.6">
      <c r="A19" s="474" t="s">
        <v>103</v>
      </c>
      <c r="B19" s="530" t="s">
        <v>65</v>
      </c>
      <c r="C19" s="457">
        <v>1</v>
      </c>
      <c r="D19" s="422"/>
      <c r="E19" s="467"/>
      <c r="F19" s="468"/>
      <c r="G19" s="550" t="s">
        <v>149</v>
      </c>
      <c r="H19" s="529"/>
      <c r="I19" s="534">
        <f>IF(I6&gt;$C$32,0,-$C$39)</f>
        <v>0</v>
      </c>
      <c r="J19" s="534">
        <f t="shared" ref="J19:AL19" si="8">IF(J6&gt;$C$32,0,-$C$39)</f>
        <v>0</v>
      </c>
      <c r="K19" s="534">
        <f t="shared" si="8"/>
        <v>0</v>
      </c>
      <c r="L19" s="534">
        <f t="shared" si="8"/>
        <v>0</v>
      </c>
      <c r="M19" s="534">
        <f t="shared" si="8"/>
        <v>0</v>
      </c>
      <c r="N19" s="534">
        <f t="shared" si="8"/>
        <v>0</v>
      </c>
      <c r="O19" s="534">
        <f t="shared" si="8"/>
        <v>0</v>
      </c>
      <c r="P19" s="534">
        <f t="shared" si="8"/>
        <v>0</v>
      </c>
      <c r="Q19" s="534">
        <f t="shared" si="8"/>
        <v>0</v>
      </c>
      <c r="R19" s="534">
        <f t="shared" si="8"/>
        <v>0</v>
      </c>
      <c r="S19" s="489">
        <f t="shared" si="8"/>
        <v>0</v>
      </c>
      <c r="T19" s="489">
        <f t="shared" si="8"/>
        <v>0</v>
      </c>
      <c r="U19" s="489">
        <f t="shared" si="8"/>
        <v>0</v>
      </c>
      <c r="V19" s="489">
        <f t="shared" si="8"/>
        <v>0</v>
      </c>
      <c r="W19" s="489">
        <f t="shared" si="8"/>
        <v>0</v>
      </c>
      <c r="X19" s="489">
        <f t="shared" si="8"/>
        <v>0</v>
      </c>
      <c r="Y19" s="489">
        <f t="shared" si="8"/>
        <v>0</v>
      </c>
      <c r="Z19" s="534">
        <f t="shared" si="8"/>
        <v>0</v>
      </c>
      <c r="AA19" s="534">
        <f t="shared" si="8"/>
        <v>0</v>
      </c>
      <c r="AB19" s="534">
        <f t="shared" si="8"/>
        <v>0</v>
      </c>
      <c r="AC19" s="534">
        <f t="shared" si="8"/>
        <v>0</v>
      </c>
      <c r="AD19" s="534">
        <f t="shared" si="8"/>
        <v>0</v>
      </c>
      <c r="AE19" s="534">
        <f t="shared" si="8"/>
        <v>0</v>
      </c>
      <c r="AF19" s="534">
        <f t="shared" si="8"/>
        <v>0</v>
      </c>
      <c r="AG19" s="534">
        <f t="shared" si="8"/>
        <v>0</v>
      </c>
      <c r="AH19" s="534">
        <f t="shared" si="8"/>
        <v>0</v>
      </c>
      <c r="AI19" s="489">
        <f t="shared" si="8"/>
        <v>0</v>
      </c>
      <c r="AJ19" s="489">
        <f t="shared" si="8"/>
        <v>0</v>
      </c>
      <c r="AK19" s="489">
        <f t="shared" si="8"/>
        <v>0</v>
      </c>
      <c r="AL19" s="458">
        <f t="shared" si="8"/>
        <v>0</v>
      </c>
      <c r="AM19" s="468"/>
      <c r="AN19" s="467"/>
      <c r="AQ19" s="545">
        <v>14</v>
      </c>
    </row>
    <row r="20" spans="1:43" ht="16.2" thickBot="1">
      <c r="A20" s="470" t="s">
        <v>78</v>
      </c>
      <c r="B20" s="478"/>
      <c r="C20" s="542">
        <f>-C17*'ICAP Price&amp;Impact'!$P$57-C18*'ICAP Price&amp;Impact'!P38-C19*'ICAP Price&amp;Impact'!P19</f>
        <v>226689648.10000014</v>
      </c>
      <c r="D20" s="423"/>
      <c r="E20" s="467"/>
      <c r="F20" s="468"/>
      <c r="G20" s="445" t="s">
        <v>21</v>
      </c>
      <c r="H20" s="526"/>
      <c r="I20" s="435">
        <f>SUM(I16:I19)</f>
        <v>-11000000</v>
      </c>
      <c r="J20" s="436">
        <f t="shared" ref="J20:AL20" si="9">SUM(J16:J19)</f>
        <v>-11252999.999999998</v>
      </c>
      <c r="K20" s="436">
        <f t="shared" si="9"/>
        <v>-11511818.999999998</v>
      </c>
      <c r="L20" s="436">
        <f t="shared" si="9"/>
        <v>-11776590.836999996</v>
      </c>
      <c r="M20" s="436">
        <f t="shared" si="9"/>
        <v>-12047452.426250996</v>
      </c>
      <c r="N20" s="436">
        <f t="shared" si="9"/>
        <v>-12324543.832054766</v>
      </c>
      <c r="O20" s="436">
        <f t="shared" si="9"/>
        <v>-12608008.340192027</v>
      </c>
      <c r="P20" s="436">
        <f t="shared" si="9"/>
        <v>-12897992.532016439</v>
      </c>
      <c r="Q20" s="436">
        <f t="shared" si="9"/>
        <v>-13194646.360252818</v>
      </c>
      <c r="R20" s="436">
        <f t="shared" si="9"/>
        <v>-13498123.22653863</v>
      </c>
      <c r="S20" s="484">
        <f t="shared" si="9"/>
        <v>-13808580.060749019</v>
      </c>
      <c r="T20" s="484">
        <f t="shared" si="9"/>
        <v>-14126177.402146244</v>
      </c>
      <c r="U20" s="484">
        <f t="shared" si="9"/>
        <v>-14451079.482395608</v>
      </c>
      <c r="V20" s="484">
        <f t="shared" si="9"/>
        <v>-14783454.310490705</v>
      </c>
      <c r="W20" s="484">
        <f t="shared" si="9"/>
        <v>-15123473.75963199</v>
      </c>
      <c r="X20" s="484">
        <f t="shared" si="9"/>
        <v>-15471313.656103522</v>
      </c>
      <c r="Y20" s="484">
        <f t="shared" si="9"/>
        <v>-15827153.870193902</v>
      </c>
      <c r="Z20" s="436">
        <f t="shared" si="9"/>
        <v>-16191178.409208359</v>
      </c>
      <c r="AA20" s="436">
        <f t="shared" si="9"/>
        <v>-16563575.512620153</v>
      </c>
      <c r="AB20" s="436">
        <f t="shared" si="9"/>
        <v>-16944537.749410413</v>
      </c>
      <c r="AC20" s="436">
        <f t="shared" si="9"/>
        <v>-17334262.117646851</v>
      </c>
      <c r="AD20" s="436">
        <f t="shared" si="9"/>
        <v>-17732950.146352727</v>
      </c>
      <c r="AE20" s="436">
        <f t="shared" si="9"/>
        <v>-18140807.999718837</v>
      </c>
      <c r="AF20" s="436">
        <f t="shared" si="9"/>
        <v>-18558046.583712365</v>
      </c>
      <c r="AG20" s="436">
        <f t="shared" si="9"/>
        <v>-18984881.655137751</v>
      </c>
      <c r="AH20" s="436">
        <f t="shared" si="9"/>
        <v>0</v>
      </c>
      <c r="AI20" s="484">
        <f t="shared" si="9"/>
        <v>0</v>
      </c>
      <c r="AJ20" s="484">
        <f t="shared" si="9"/>
        <v>0</v>
      </c>
      <c r="AK20" s="484">
        <f t="shared" si="9"/>
        <v>0</v>
      </c>
      <c r="AL20" s="460">
        <f t="shared" si="9"/>
        <v>0</v>
      </c>
      <c r="AM20" s="468"/>
      <c r="AN20" s="467"/>
      <c r="AQ20" s="545">
        <v>15</v>
      </c>
    </row>
    <row r="21" spans="1:43" ht="16.2" thickTop="1">
      <c r="A21" s="474" t="s">
        <v>76</v>
      </c>
      <c r="B21" s="543" t="s">
        <v>88</v>
      </c>
      <c r="C21" s="463">
        <v>5</v>
      </c>
      <c r="D21" s="423"/>
      <c r="E21" s="467"/>
      <c r="F21" s="468"/>
      <c r="G21" s="446"/>
      <c r="H21" s="418"/>
      <c r="I21" s="533"/>
      <c r="J21" s="418"/>
      <c r="K21" s="418"/>
      <c r="L21" s="418"/>
      <c r="M21" s="418"/>
      <c r="N21" s="418"/>
      <c r="O21" s="418"/>
      <c r="P21" s="418"/>
      <c r="Q21" s="418"/>
      <c r="R21" s="418"/>
      <c r="S21" s="481"/>
      <c r="T21" s="481"/>
      <c r="U21" s="481"/>
      <c r="V21" s="481"/>
      <c r="W21" s="481"/>
      <c r="X21" s="481"/>
      <c r="Y21" s="481"/>
      <c r="Z21" s="418"/>
      <c r="AA21" s="418"/>
      <c r="AB21" s="418"/>
      <c r="AC21" s="418"/>
      <c r="AD21" s="418"/>
      <c r="AE21" s="418"/>
      <c r="AF21" s="418"/>
      <c r="AG21" s="418"/>
      <c r="AH21" s="418"/>
      <c r="AI21" s="481"/>
      <c r="AJ21" s="481"/>
      <c r="AK21" s="481"/>
      <c r="AL21" s="459"/>
      <c r="AM21" s="468"/>
      <c r="AN21" s="467"/>
      <c r="AQ21" s="545">
        <v>16</v>
      </c>
    </row>
    <row r="22" spans="1:43" ht="15.6">
      <c r="A22" s="470" t="s">
        <v>48</v>
      </c>
      <c r="B22" s="420"/>
      <c r="C22" s="464">
        <v>1</v>
      </c>
      <c r="D22" s="423"/>
      <c r="E22" s="467"/>
      <c r="F22" s="468"/>
      <c r="G22" s="550" t="s">
        <v>22</v>
      </c>
      <c r="H22" s="529"/>
      <c r="I22" s="536">
        <f t="shared" ref="I22:AL22" si="10">I14+I20</f>
        <v>20192332.800000001</v>
      </c>
      <c r="J22" s="523">
        <f t="shared" si="10"/>
        <v>20721267.7608288</v>
      </c>
      <c r="K22" s="523">
        <f t="shared" si="10"/>
        <v>21264149.830519825</v>
      </c>
      <c r="L22" s="523">
        <f t="shared" si="10"/>
        <v>21821348.721434668</v>
      </c>
      <c r="M22" s="523">
        <f t="shared" si="10"/>
        <v>22393243.986598894</v>
      </c>
      <c r="N22" s="523">
        <f t="shared" si="10"/>
        <v>22980225.282432623</v>
      </c>
      <c r="O22" s="523">
        <f t="shared" si="10"/>
        <v>23523758.215670638</v>
      </c>
      <c r="P22" s="523">
        <f t="shared" si="10"/>
        <v>24080175.455838263</v>
      </c>
      <c r="Q22" s="523">
        <f t="shared" si="10"/>
        <v>24649783.1317816</v>
      </c>
      <c r="R22" s="523">
        <f t="shared" si="10"/>
        <v>25232894.663512684</v>
      </c>
      <c r="S22" s="497">
        <f t="shared" si="10"/>
        <v>25829830.936300799</v>
      </c>
      <c r="T22" s="523">
        <f t="shared" si="10"/>
        <v>26440920.478931494</v>
      </c>
      <c r="U22" s="523">
        <f t="shared" si="10"/>
        <v>27066499.646232914</v>
      </c>
      <c r="V22" s="523">
        <f t="shared" si="10"/>
        <v>27706912.805972353</v>
      </c>
      <c r="W22" s="523">
        <f t="shared" si="10"/>
        <v>28362512.530227542</v>
      </c>
      <c r="X22" s="523">
        <f t="shared" si="10"/>
        <v>29033659.791340359</v>
      </c>
      <c r="Y22" s="523">
        <f t="shared" si="10"/>
        <v>29720724.162562858</v>
      </c>
      <c r="Z22" s="523">
        <f t="shared" si="10"/>
        <v>30424084.023508303</v>
      </c>
      <c r="AA22" s="523">
        <f t="shared" si="10"/>
        <v>31144126.770522565</v>
      </c>
      <c r="AB22" s="523">
        <f t="shared" si="10"/>
        <v>31881249.032094054</v>
      </c>
      <c r="AC22" s="523">
        <f t="shared" si="10"/>
        <v>32635856.889423244</v>
      </c>
      <c r="AD22" s="523">
        <f t="shared" si="10"/>
        <v>33408366.102275517</v>
      </c>
      <c r="AE22" s="523">
        <f t="shared" si="10"/>
        <v>34199202.340244494</v>
      </c>
      <c r="AF22" s="523">
        <f t="shared" si="10"/>
        <v>35008801.41955547</v>
      </c>
      <c r="AG22" s="523">
        <f t="shared" si="10"/>
        <v>35837609.545542464</v>
      </c>
      <c r="AH22" s="523">
        <f t="shared" si="10"/>
        <v>0</v>
      </c>
      <c r="AI22" s="497">
        <f t="shared" si="10"/>
        <v>0</v>
      </c>
      <c r="AJ22" s="523">
        <f t="shared" si="10"/>
        <v>0</v>
      </c>
      <c r="AK22" s="523">
        <f t="shared" si="10"/>
        <v>0</v>
      </c>
      <c r="AL22" s="505">
        <f t="shared" si="10"/>
        <v>0</v>
      </c>
      <c r="AM22" s="468"/>
      <c r="AN22" s="467"/>
      <c r="AQ22" s="545">
        <v>17</v>
      </c>
    </row>
    <row r="23" spans="1:43" ht="15.6">
      <c r="A23" s="474" t="s">
        <v>129</v>
      </c>
      <c r="B23" s="530"/>
      <c r="C23" s="242" t="s">
        <v>130</v>
      </c>
      <c r="D23" s="423"/>
      <c r="E23" s="467"/>
      <c r="F23" s="468"/>
      <c r="G23" s="550" t="s">
        <v>23</v>
      </c>
      <c r="H23" s="529"/>
      <c r="I23" s="534">
        <f>I49</f>
        <v>-14767500</v>
      </c>
      <c r="J23" s="417">
        <f t="shared" ref="J23:AL23" si="11">J49</f>
        <v>-14473533.769238982</v>
      </c>
      <c r="K23" s="417">
        <f t="shared" si="11"/>
        <v>-14163781.551886097</v>
      </c>
      <c r="L23" s="417">
        <f t="shared" si="11"/>
        <v>-13837395.640461363</v>
      </c>
      <c r="M23" s="417">
        <f t="shared" si="11"/>
        <v>-13493482.805593122</v>
      </c>
      <c r="N23" s="417">
        <f t="shared" si="11"/>
        <v>-13131101.851492455</v>
      </c>
      <c r="O23" s="417">
        <f t="shared" si="11"/>
        <v>-12749261.040156581</v>
      </c>
      <c r="P23" s="417">
        <f t="shared" si="11"/>
        <v>-12346915.377251973</v>
      </c>
      <c r="Q23" s="417">
        <f t="shared" si="11"/>
        <v>-11922963.752249386</v>
      </c>
      <c r="R23" s="417">
        <f t="shared" si="11"/>
        <v>-11476245.924984159</v>
      </c>
      <c r="S23" s="480">
        <f t="shared" si="11"/>
        <v>-11005539.350394791</v>
      </c>
      <c r="T23" s="417">
        <f t="shared" si="11"/>
        <v>-10509555.832749974</v>
      </c>
      <c r="U23" s="417">
        <f t="shared" si="11"/>
        <v>-9986938.0002076309</v>
      </c>
      <c r="V23" s="417">
        <f t="shared" si="11"/>
        <v>-9436255.5900577623</v>
      </c>
      <c r="W23" s="417">
        <f t="shared" si="11"/>
        <v>-8856001.534482846</v>
      </c>
      <c r="X23" s="417">
        <f t="shared" si="11"/>
        <v>-8244587.8361235568</v>
      </c>
      <c r="Y23" s="417">
        <f t="shared" si="11"/>
        <v>-7600341.2221623734</v>
      </c>
      <c r="Z23" s="417">
        <f t="shared" si="11"/>
        <v>-6921498.5650314745</v>
      </c>
      <c r="AA23" s="417">
        <f t="shared" si="11"/>
        <v>-6206202.0572126471</v>
      </c>
      <c r="AB23" s="417">
        <f t="shared" si="11"/>
        <v>-5452494.1269239485</v>
      </c>
      <c r="AC23" s="417">
        <f t="shared" si="11"/>
        <v>-4658312.0807787469</v>
      </c>
      <c r="AD23" s="417">
        <f t="shared" si="11"/>
        <v>-3821482.4587555481</v>
      </c>
      <c r="AE23" s="417">
        <f t="shared" si="11"/>
        <v>-2939715.0860297033</v>
      </c>
      <c r="AF23" s="417">
        <f t="shared" si="11"/>
        <v>-2010596.8053884809</v>
      </c>
      <c r="AG23" s="417">
        <f t="shared" si="11"/>
        <v>-1031584.8730768245</v>
      </c>
      <c r="AH23" s="417">
        <f t="shared" si="11"/>
        <v>0</v>
      </c>
      <c r="AI23" s="480">
        <f t="shared" si="11"/>
        <v>0</v>
      </c>
      <c r="AJ23" s="417">
        <f t="shared" si="11"/>
        <v>0</v>
      </c>
      <c r="AK23" s="417">
        <f t="shared" si="11"/>
        <v>0</v>
      </c>
      <c r="AL23" s="494">
        <f t="shared" si="11"/>
        <v>0</v>
      </c>
      <c r="AM23" s="468"/>
      <c r="AN23" s="467"/>
      <c r="AQ23" s="545">
        <v>18</v>
      </c>
    </row>
    <row r="24" spans="1:43" ht="15.6">
      <c r="A24" s="495" t="s">
        <v>8</v>
      </c>
      <c r="B24" s="508"/>
      <c r="C24" s="483"/>
      <c r="D24" s="424"/>
      <c r="E24" s="467"/>
      <c r="F24" s="468"/>
      <c r="G24" s="551" t="s">
        <v>24</v>
      </c>
      <c r="H24" s="528"/>
      <c r="I24" s="534">
        <f>I44</f>
        <v>-55000000</v>
      </c>
      <c r="J24" s="417">
        <f>J44</f>
        <v>-99000000</v>
      </c>
      <c r="K24" s="417">
        <f t="shared" ref="K24:AL24" si="12">K44</f>
        <v>-79200000</v>
      </c>
      <c r="L24" s="417">
        <f t="shared" si="12"/>
        <v>-63360000</v>
      </c>
      <c r="M24" s="417">
        <f t="shared" si="12"/>
        <v>-50710000</v>
      </c>
      <c r="N24" s="417">
        <f t="shared" si="12"/>
        <v>-40535000</v>
      </c>
      <c r="O24" s="417">
        <f t="shared" si="12"/>
        <v>-36025000</v>
      </c>
      <c r="P24" s="417">
        <f t="shared" si="12"/>
        <v>-36025000</v>
      </c>
      <c r="Q24" s="417">
        <f t="shared" si="12"/>
        <v>-36080000</v>
      </c>
      <c r="R24" s="417">
        <f t="shared" si="12"/>
        <v>-36025000</v>
      </c>
      <c r="S24" s="480">
        <f t="shared" si="12"/>
        <v>-18040000</v>
      </c>
      <c r="T24" s="417">
        <f t="shared" si="12"/>
        <v>0</v>
      </c>
      <c r="U24" s="417">
        <f t="shared" si="12"/>
        <v>0</v>
      </c>
      <c r="V24" s="417">
        <f t="shared" si="12"/>
        <v>0</v>
      </c>
      <c r="W24" s="417">
        <f t="shared" si="12"/>
        <v>0</v>
      </c>
      <c r="X24" s="417">
        <f t="shared" si="12"/>
        <v>0</v>
      </c>
      <c r="Y24" s="417">
        <f t="shared" si="12"/>
        <v>0</v>
      </c>
      <c r="Z24" s="417">
        <f t="shared" si="12"/>
        <v>0</v>
      </c>
      <c r="AA24" s="417">
        <f t="shared" si="12"/>
        <v>0</v>
      </c>
      <c r="AB24" s="417">
        <f t="shared" si="12"/>
        <v>0</v>
      </c>
      <c r="AC24" s="417">
        <f t="shared" si="12"/>
        <v>0</v>
      </c>
      <c r="AD24" s="417">
        <f t="shared" si="12"/>
        <v>0</v>
      </c>
      <c r="AE24" s="417">
        <f t="shared" si="12"/>
        <v>0</v>
      </c>
      <c r="AF24" s="417">
        <f t="shared" si="12"/>
        <v>0</v>
      </c>
      <c r="AG24" s="417">
        <f t="shared" si="12"/>
        <v>0</v>
      </c>
      <c r="AH24" s="417">
        <f t="shared" si="12"/>
        <v>0</v>
      </c>
      <c r="AI24" s="480">
        <f t="shared" si="12"/>
        <v>0</v>
      </c>
      <c r="AJ24" s="417">
        <f t="shared" si="12"/>
        <v>0</v>
      </c>
      <c r="AK24" s="417">
        <f t="shared" si="12"/>
        <v>0</v>
      </c>
      <c r="AL24" s="494">
        <f t="shared" si="12"/>
        <v>0</v>
      </c>
      <c r="AM24" s="468"/>
      <c r="AN24" s="467"/>
      <c r="AQ24" s="545">
        <v>19</v>
      </c>
    </row>
    <row r="25" spans="1:43" ht="16.2" thickBot="1">
      <c r="A25" s="474" t="s">
        <v>9</v>
      </c>
      <c r="B25" s="478"/>
      <c r="C25" s="565">
        <v>0.5</v>
      </c>
      <c r="E25" s="467"/>
      <c r="F25" s="468"/>
      <c r="G25" s="443" t="s">
        <v>25</v>
      </c>
      <c r="H25" s="527"/>
      <c r="I25" s="433">
        <f>SUM(I22:I24)</f>
        <v>-49575167.200000003</v>
      </c>
      <c r="J25" s="434">
        <f t="shared" ref="J25:R25" si="13">SUM(J22:J24)</f>
        <v>-92752266.008410186</v>
      </c>
      <c r="K25" s="434">
        <f t="shared" si="13"/>
        <v>-72099631.721366271</v>
      </c>
      <c r="L25" s="434">
        <f t="shared" si="13"/>
        <v>-55376046.919026695</v>
      </c>
      <c r="M25" s="434">
        <f t="shared" si="13"/>
        <v>-41810238.818994224</v>
      </c>
      <c r="N25" s="434">
        <f t="shared" si="13"/>
        <v>-30685876.569059834</v>
      </c>
      <c r="O25" s="434">
        <f t="shared" si="13"/>
        <v>-25250502.824485943</v>
      </c>
      <c r="P25" s="434">
        <f t="shared" si="13"/>
        <v>-24291739.921413712</v>
      </c>
      <c r="Q25" s="434">
        <f t="shared" si="13"/>
        <v>-23353180.620467786</v>
      </c>
      <c r="R25" s="434">
        <f t="shared" si="13"/>
        <v>-22268351.261471473</v>
      </c>
      <c r="S25" s="488">
        <f t="shared" ref="S25:Y25" si="14">SUM(S22:S24)</f>
        <v>-3215708.4140939917</v>
      </c>
      <c r="T25" s="434">
        <f t="shared" si="14"/>
        <v>15931364.64618152</v>
      </c>
      <c r="U25" s="434">
        <f t="shared" si="14"/>
        <v>17079561.646025285</v>
      </c>
      <c r="V25" s="434">
        <f t="shared" si="14"/>
        <v>18270657.215914592</v>
      </c>
      <c r="W25" s="434">
        <f t="shared" si="14"/>
        <v>19506510.995744698</v>
      </c>
      <c r="X25" s="434">
        <f t="shared" si="14"/>
        <v>20789071.955216803</v>
      </c>
      <c r="Y25" s="434">
        <f t="shared" si="14"/>
        <v>22120382.940400485</v>
      </c>
      <c r="Z25" s="434">
        <f t="shared" ref="Z25:AH25" si="15">SUM(Z22:Z24)</f>
        <v>23502585.458476827</v>
      </c>
      <c r="AA25" s="434">
        <f t="shared" si="15"/>
        <v>24937924.713309918</v>
      </c>
      <c r="AB25" s="434">
        <f t="shared" si="15"/>
        <v>26428754.905170105</v>
      </c>
      <c r="AC25" s="434">
        <f t="shared" si="15"/>
        <v>27977544.808644496</v>
      </c>
      <c r="AD25" s="434">
        <f t="shared" si="15"/>
        <v>29586883.643519968</v>
      </c>
      <c r="AE25" s="434">
        <f t="shared" si="15"/>
        <v>31259487.25421479</v>
      </c>
      <c r="AF25" s="434">
        <f t="shared" si="15"/>
        <v>32998204.61416699</v>
      </c>
      <c r="AG25" s="434">
        <f t="shared" si="15"/>
        <v>34806024.672465637</v>
      </c>
      <c r="AH25" s="434">
        <f t="shared" si="15"/>
        <v>0</v>
      </c>
      <c r="AI25" s="488">
        <f>SUM(AI22:AI24)</f>
        <v>0</v>
      </c>
      <c r="AJ25" s="434">
        <f>SUM(AJ22:AJ24)</f>
        <v>0</v>
      </c>
      <c r="AK25" s="434">
        <f>SUM(AK22:AK24)</f>
        <v>0</v>
      </c>
      <c r="AL25" s="502">
        <f>SUM(AL22:AL24)</f>
        <v>0</v>
      </c>
      <c r="AM25" s="468"/>
      <c r="AN25" s="467"/>
      <c r="AQ25" s="545">
        <v>20</v>
      </c>
    </row>
    <row r="26" spans="1:43" ht="16.2" thickTop="1">
      <c r="A26" s="470" t="s">
        <v>10</v>
      </c>
      <c r="B26" s="531"/>
      <c r="C26" s="466">
        <f>1-C25</f>
        <v>0.5</v>
      </c>
      <c r="D26" s="532"/>
      <c r="E26" s="467"/>
      <c r="F26" s="468"/>
      <c r="G26" s="446"/>
      <c r="H26" s="418"/>
      <c r="I26" s="533"/>
      <c r="J26" s="418"/>
      <c r="K26" s="418"/>
      <c r="L26" s="418"/>
      <c r="M26" s="418"/>
      <c r="N26" s="418"/>
      <c r="O26" s="418"/>
      <c r="P26" s="418"/>
      <c r="Q26" s="418"/>
      <c r="R26" s="418"/>
      <c r="S26" s="481"/>
      <c r="T26" s="418"/>
      <c r="U26" s="418"/>
      <c r="V26" s="418"/>
      <c r="W26" s="481"/>
      <c r="X26" s="481"/>
      <c r="Y26" s="481"/>
      <c r="Z26" s="418"/>
      <c r="AA26" s="418"/>
      <c r="AB26" s="418"/>
      <c r="AC26" s="418"/>
      <c r="AD26" s="418"/>
      <c r="AE26" s="418"/>
      <c r="AF26" s="418"/>
      <c r="AG26" s="418"/>
      <c r="AH26" s="418"/>
      <c r="AI26" s="481"/>
      <c r="AJ26" s="418"/>
      <c r="AK26" s="418"/>
      <c r="AL26" s="461"/>
      <c r="AM26" s="468"/>
      <c r="AN26" s="467"/>
      <c r="AQ26" s="545">
        <v>21</v>
      </c>
    </row>
    <row r="27" spans="1:43" ht="15.6">
      <c r="A27" s="474" t="s">
        <v>11</v>
      </c>
      <c r="B27" s="478"/>
      <c r="C27" s="593">
        <v>5.3699999999999998E-2</v>
      </c>
      <c r="D27" s="532"/>
      <c r="E27" s="467"/>
      <c r="F27" s="468"/>
      <c r="G27" s="552" t="s">
        <v>133</v>
      </c>
      <c r="H27" s="418"/>
      <c r="I27" s="534">
        <f>MAX(0,IF(I$6&gt;$C$31,0,$C$12*$C$9*$C$7*8760))</f>
        <v>8059200.0000000009</v>
      </c>
      <c r="J27" s="534">
        <f t="shared" ref="J27:AL27" si="16">MAX(0,IF(J$6&gt;$C$31,0,$C$12*$C$9*$C$7*8760))</f>
        <v>8059200.0000000009</v>
      </c>
      <c r="K27" s="534">
        <f t="shared" si="16"/>
        <v>8059200.0000000009</v>
      </c>
      <c r="L27" s="534">
        <f t="shared" si="16"/>
        <v>8059200.0000000009</v>
      </c>
      <c r="M27" s="534">
        <f t="shared" si="16"/>
        <v>8059200.0000000009</v>
      </c>
      <c r="N27" s="534">
        <f t="shared" si="16"/>
        <v>8059200.0000000009</v>
      </c>
      <c r="O27" s="534">
        <f t="shared" si="16"/>
        <v>8059200.0000000009</v>
      </c>
      <c r="P27" s="534">
        <f t="shared" si="16"/>
        <v>8059200.0000000009</v>
      </c>
      <c r="Q27" s="534">
        <f t="shared" si="16"/>
        <v>8059200.0000000009</v>
      </c>
      <c r="R27" s="534">
        <f t="shared" si="16"/>
        <v>8059200.0000000009</v>
      </c>
      <c r="S27" s="534">
        <f t="shared" si="16"/>
        <v>0</v>
      </c>
      <c r="T27" s="534">
        <f t="shared" si="16"/>
        <v>0</v>
      </c>
      <c r="U27" s="534">
        <f t="shared" si="16"/>
        <v>0</v>
      </c>
      <c r="V27" s="534">
        <f t="shared" si="16"/>
        <v>0</v>
      </c>
      <c r="W27" s="534">
        <f t="shared" si="16"/>
        <v>0</v>
      </c>
      <c r="X27" s="534">
        <f t="shared" si="16"/>
        <v>0</v>
      </c>
      <c r="Y27" s="534">
        <f t="shared" si="16"/>
        <v>0</v>
      </c>
      <c r="Z27" s="534">
        <f t="shared" si="16"/>
        <v>0</v>
      </c>
      <c r="AA27" s="534">
        <f t="shared" si="16"/>
        <v>0</v>
      </c>
      <c r="AB27" s="534">
        <f t="shared" si="16"/>
        <v>0</v>
      </c>
      <c r="AC27" s="534">
        <f t="shared" si="16"/>
        <v>0</v>
      </c>
      <c r="AD27" s="534">
        <f t="shared" si="16"/>
        <v>0</v>
      </c>
      <c r="AE27" s="534">
        <f t="shared" si="16"/>
        <v>0</v>
      </c>
      <c r="AF27" s="534">
        <f t="shared" si="16"/>
        <v>0</v>
      </c>
      <c r="AG27" s="534">
        <f t="shared" si="16"/>
        <v>0</v>
      </c>
      <c r="AH27" s="534">
        <f t="shared" si="16"/>
        <v>0</v>
      </c>
      <c r="AI27" s="534">
        <f t="shared" si="16"/>
        <v>0</v>
      </c>
      <c r="AJ27" s="534">
        <f t="shared" si="16"/>
        <v>0</v>
      </c>
      <c r="AK27" s="534">
        <f t="shared" si="16"/>
        <v>0</v>
      </c>
      <c r="AL27" s="465">
        <f t="shared" si="16"/>
        <v>0</v>
      </c>
      <c r="AM27" s="468"/>
      <c r="AN27" s="467"/>
      <c r="AQ27" s="545">
        <v>22</v>
      </c>
    </row>
    <row r="28" spans="1:43" ht="15.6">
      <c r="A28" s="474" t="s">
        <v>12</v>
      </c>
      <c r="B28" s="478"/>
      <c r="C28" s="593">
        <v>8.9300000000000004E-2</v>
      </c>
      <c r="D28" s="532"/>
      <c r="E28" s="467"/>
      <c r="F28" s="468"/>
      <c r="G28" s="552" t="s">
        <v>26</v>
      </c>
      <c r="H28" s="418"/>
      <c r="I28" s="534">
        <f>-MAX(I25*$C$30,0)</f>
        <v>0</v>
      </c>
      <c r="J28" s="534">
        <f t="shared" ref="J28:AL28" si="17">-MAX(J25*$C$30,0)</f>
        <v>0</v>
      </c>
      <c r="K28" s="534">
        <f t="shared" si="17"/>
        <v>0</v>
      </c>
      <c r="L28" s="534">
        <f t="shared" si="17"/>
        <v>0</v>
      </c>
      <c r="M28" s="534">
        <f t="shared" si="17"/>
        <v>0</v>
      </c>
      <c r="N28" s="534">
        <f t="shared" si="17"/>
        <v>0</v>
      </c>
      <c r="O28" s="534">
        <f t="shared" si="17"/>
        <v>0</v>
      </c>
      <c r="P28" s="534">
        <f t="shared" si="17"/>
        <v>0</v>
      </c>
      <c r="Q28" s="534">
        <f t="shared" si="17"/>
        <v>0</v>
      </c>
      <c r="R28" s="534">
        <f t="shared" si="17"/>
        <v>0</v>
      </c>
      <c r="S28" s="534">
        <f t="shared" si="17"/>
        <v>0</v>
      </c>
      <c r="T28" s="534">
        <f t="shared" si="17"/>
        <v>-7227661.8558564009</v>
      </c>
      <c r="U28" s="534">
        <f t="shared" si="17"/>
        <v>-7748570.1297605215</v>
      </c>
      <c r="V28" s="534">
        <f t="shared" si="17"/>
        <v>-8288940.4124300526</v>
      </c>
      <c r="W28" s="534">
        <f t="shared" si="17"/>
        <v>-8849616.3759944756</v>
      </c>
      <c r="X28" s="534">
        <f t="shared" si="17"/>
        <v>-9431482.2192829829</v>
      </c>
      <c r="Y28" s="534">
        <f t="shared" si="17"/>
        <v>-10035464.73048619</v>
      </c>
      <c r="Z28" s="534">
        <f t="shared" si="17"/>
        <v>-10662535.457874475</v>
      </c>
      <c r="AA28" s="534">
        <f t="shared" si="17"/>
        <v>-11313712.994310876</v>
      </c>
      <c r="AB28" s="534">
        <f t="shared" si="17"/>
        <v>-11990065.381603047</v>
      </c>
      <c r="AC28" s="534">
        <f t="shared" si="17"/>
        <v>-12692712.641061792</v>
      </c>
      <c r="AD28" s="534">
        <f t="shared" si="17"/>
        <v>-13422829.436973922</v>
      </c>
      <c r="AE28" s="534">
        <f t="shared" si="17"/>
        <v>-14181647.880055895</v>
      </c>
      <c r="AF28" s="534">
        <f t="shared" si="17"/>
        <v>-14970460.478332208</v>
      </c>
      <c r="AG28" s="534">
        <f t="shared" si="17"/>
        <v>-15790623.243280848</v>
      </c>
      <c r="AH28" s="534">
        <f t="shared" si="17"/>
        <v>0</v>
      </c>
      <c r="AI28" s="534">
        <f t="shared" si="17"/>
        <v>0</v>
      </c>
      <c r="AJ28" s="534">
        <f t="shared" si="17"/>
        <v>0</v>
      </c>
      <c r="AK28" s="534">
        <f t="shared" si="17"/>
        <v>0</v>
      </c>
      <c r="AL28" s="465">
        <f t="shared" si="17"/>
        <v>0</v>
      </c>
      <c r="AM28" s="468"/>
      <c r="AN28" s="467"/>
      <c r="AQ28" s="545">
        <v>23</v>
      </c>
    </row>
    <row r="29" spans="1:43" ht="15.6">
      <c r="A29" s="470" t="s">
        <v>13</v>
      </c>
      <c r="B29" s="478"/>
      <c r="C29" s="593">
        <v>2.3E-2</v>
      </c>
      <c r="D29" s="426"/>
      <c r="E29" s="467"/>
      <c r="F29" s="468"/>
      <c r="G29" s="552" t="s">
        <v>141</v>
      </c>
      <c r="H29" s="418"/>
      <c r="I29" s="534">
        <f>I27</f>
        <v>8059200.0000000009</v>
      </c>
      <c r="J29" s="534">
        <f>IF(J$6&gt;20,0,MAX(I29+J28+J27,0))</f>
        <v>16118400.000000002</v>
      </c>
      <c r="K29" s="534">
        <f t="shared" ref="K29:AL29" si="18">IF(K$6&gt;20,0,MAX(J29+K28+K27,0))</f>
        <v>24177600.000000004</v>
      </c>
      <c r="L29" s="534">
        <f t="shared" si="18"/>
        <v>32236800.000000004</v>
      </c>
      <c r="M29" s="534">
        <f t="shared" si="18"/>
        <v>40296000.000000007</v>
      </c>
      <c r="N29" s="534">
        <f t="shared" si="18"/>
        <v>48355200.000000007</v>
      </c>
      <c r="O29" s="534">
        <f t="shared" si="18"/>
        <v>56414400.000000007</v>
      </c>
      <c r="P29" s="534">
        <f t="shared" si="18"/>
        <v>64473600.000000007</v>
      </c>
      <c r="Q29" s="534">
        <f t="shared" si="18"/>
        <v>72532800.000000015</v>
      </c>
      <c r="R29" s="534">
        <f t="shared" si="18"/>
        <v>80592000.000000015</v>
      </c>
      <c r="S29" s="534">
        <f t="shared" si="18"/>
        <v>80592000.000000015</v>
      </c>
      <c r="T29" s="534">
        <f t="shared" si="18"/>
        <v>73364338.144143611</v>
      </c>
      <c r="U29" s="534">
        <f t="shared" si="18"/>
        <v>65615768.014383093</v>
      </c>
      <c r="V29" s="534">
        <f t="shared" si="18"/>
        <v>57326827.601953037</v>
      </c>
      <c r="W29" s="534">
        <f t="shared" si="18"/>
        <v>48477211.225958563</v>
      </c>
      <c r="X29" s="534">
        <f t="shared" si="18"/>
        <v>39045729.006675579</v>
      </c>
      <c r="Y29" s="534">
        <f t="shared" si="18"/>
        <v>29010264.276189387</v>
      </c>
      <c r="Z29" s="534">
        <f t="shared" si="18"/>
        <v>18347728.81831491</v>
      </c>
      <c r="AA29" s="534">
        <f t="shared" si="18"/>
        <v>7034015.8240040336</v>
      </c>
      <c r="AB29" s="534">
        <f t="shared" si="18"/>
        <v>0</v>
      </c>
      <c r="AC29" s="534">
        <f t="shared" si="18"/>
        <v>0</v>
      </c>
      <c r="AD29" s="534">
        <f t="shared" si="18"/>
        <v>0</v>
      </c>
      <c r="AE29" s="534">
        <f t="shared" si="18"/>
        <v>0</v>
      </c>
      <c r="AF29" s="534">
        <f t="shared" si="18"/>
        <v>0</v>
      </c>
      <c r="AG29" s="534">
        <f t="shared" si="18"/>
        <v>0</v>
      </c>
      <c r="AH29" s="534">
        <f t="shared" si="18"/>
        <v>0</v>
      </c>
      <c r="AI29" s="534">
        <f t="shared" si="18"/>
        <v>0</v>
      </c>
      <c r="AJ29" s="534">
        <f t="shared" si="18"/>
        <v>0</v>
      </c>
      <c r="AK29" s="534">
        <f t="shared" si="18"/>
        <v>0</v>
      </c>
      <c r="AL29" s="465">
        <f t="shared" si="18"/>
        <v>0</v>
      </c>
      <c r="AM29" s="468"/>
      <c r="AN29" s="467"/>
      <c r="AQ29" s="545">
        <v>24</v>
      </c>
    </row>
    <row r="30" spans="1:43" ht="15.6">
      <c r="A30" s="474" t="s">
        <v>14</v>
      </c>
      <c r="B30" s="478"/>
      <c r="C30" s="593">
        <v>0.45367499999999999</v>
      </c>
      <c r="D30" s="426"/>
      <c r="E30" s="467"/>
      <c r="F30" s="468"/>
      <c r="G30" s="552" t="s">
        <v>142</v>
      </c>
      <c r="H30" s="525"/>
      <c r="I30" s="537">
        <f>-MAX(MAX(I25*$AS$44-I29,0)+$AS$48*I25,0)</f>
        <v>0</v>
      </c>
      <c r="J30" s="537">
        <f t="shared" ref="J30:AL30" si="19">-MAX(MAX(J25*$AS$44-J29,0)+$AS$48*J25,0)</f>
        <v>0</v>
      </c>
      <c r="K30" s="537">
        <f t="shared" si="19"/>
        <v>0</v>
      </c>
      <c r="L30" s="537">
        <f t="shared" si="19"/>
        <v>0</v>
      </c>
      <c r="M30" s="537">
        <f t="shared" si="19"/>
        <v>0</v>
      </c>
      <c r="N30" s="537">
        <f t="shared" si="19"/>
        <v>0</v>
      </c>
      <c r="O30" s="537">
        <f t="shared" si="19"/>
        <v>0</v>
      </c>
      <c r="P30" s="537">
        <f t="shared" si="19"/>
        <v>0</v>
      </c>
      <c r="Q30" s="537">
        <f t="shared" si="19"/>
        <v>0</v>
      </c>
      <c r="R30" s="537">
        <f t="shared" si="19"/>
        <v>0</v>
      </c>
      <c r="S30" s="537">
        <f t="shared" si="19"/>
        <v>0</v>
      </c>
      <c r="T30" s="537">
        <f t="shared" si="19"/>
        <v>-1651684.2296928689</v>
      </c>
      <c r="U30" s="537">
        <f t="shared" si="19"/>
        <v>-1770723.5536516712</v>
      </c>
      <c r="V30" s="537">
        <f t="shared" si="19"/>
        <v>-1894210.3868599453</v>
      </c>
      <c r="W30" s="537">
        <f t="shared" si="19"/>
        <v>-2022337.5274838314</v>
      </c>
      <c r="X30" s="537">
        <f t="shared" si="19"/>
        <v>-2155307.0349571016</v>
      </c>
      <c r="Y30" s="537">
        <f t="shared" si="19"/>
        <v>-2293330.7013460202</v>
      </c>
      <c r="Z30" s="537">
        <f t="shared" si="19"/>
        <v>-2436630.5474075847</v>
      </c>
      <c r="AA30" s="537">
        <f t="shared" si="19"/>
        <v>-4279697.1703068428</v>
      </c>
      <c r="AB30" s="537">
        <f t="shared" si="19"/>
        <v>-11990065.381603045</v>
      </c>
      <c r="AC30" s="537">
        <f t="shared" si="19"/>
        <v>-12692712.64106179</v>
      </c>
      <c r="AD30" s="537">
        <f t="shared" si="19"/>
        <v>-13422829.43697392</v>
      </c>
      <c r="AE30" s="537">
        <f t="shared" si="19"/>
        <v>-14181647.880055893</v>
      </c>
      <c r="AF30" s="537">
        <f t="shared" si="19"/>
        <v>-14970460.478332208</v>
      </c>
      <c r="AG30" s="537">
        <f t="shared" si="19"/>
        <v>-15790623.243280847</v>
      </c>
      <c r="AH30" s="537">
        <f t="shared" si="19"/>
        <v>0</v>
      </c>
      <c r="AI30" s="537">
        <f t="shared" si="19"/>
        <v>0</v>
      </c>
      <c r="AJ30" s="537">
        <f t="shared" si="19"/>
        <v>0</v>
      </c>
      <c r="AK30" s="537">
        <f t="shared" si="19"/>
        <v>0</v>
      </c>
      <c r="AL30" s="577">
        <f t="shared" si="19"/>
        <v>0</v>
      </c>
      <c r="AM30" s="468"/>
      <c r="AN30" s="467"/>
      <c r="AQ30" s="545">
        <v>25</v>
      </c>
    </row>
    <row r="31" spans="1:43" ht="15.6">
      <c r="A31" s="474" t="s">
        <v>98</v>
      </c>
      <c r="B31" s="478"/>
      <c r="C31" s="462">
        <v>10</v>
      </c>
      <c r="D31" s="426"/>
      <c r="E31" s="467"/>
      <c r="F31" s="468"/>
      <c r="G31" s="446" t="s">
        <v>27</v>
      </c>
      <c r="H31" s="418"/>
      <c r="I31" s="534">
        <f>I50</f>
        <v>-5474231.4853075929</v>
      </c>
      <c r="J31" s="417">
        <f t="shared" ref="J31:X31" si="20">J50</f>
        <v>-5768197.7160686105</v>
      </c>
      <c r="K31" s="417">
        <f t="shared" si="20"/>
        <v>-6077949.9334214963</v>
      </c>
      <c r="L31" s="417">
        <f t="shared" si="20"/>
        <v>-6404335.84484623</v>
      </c>
      <c r="M31" s="417">
        <f t="shared" si="20"/>
        <v>-6748248.6797144711</v>
      </c>
      <c r="N31" s="417">
        <f t="shared" si="20"/>
        <v>-7110629.6338151377</v>
      </c>
      <c r="O31" s="417">
        <f t="shared" si="20"/>
        <v>-7492470.4451510124</v>
      </c>
      <c r="P31" s="417">
        <f t="shared" si="20"/>
        <v>-7894816.1080556195</v>
      </c>
      <c r="Q31" s="417">
        <f t="shared" si="20"/>
        <v>-8318767.7330582067</v>
      </c>
      <c r="R31" s="417">
        <f t="shared" si="20"/>
        <v>-8765485.560323434</v>
      </c>
      <c r="S31" s="480">
        <f t="shared" si="20"/>
        <v>-9236192.1349128019</v>
      </c>
      <c r="T31" s="417">
        <f t="shared" si="20"/>
        <v>-9732175.6525576189</v>
      </c>
      <c r="U31" s="417">
        <f t="shared" si="20"/>
        <v>-10254793.485099962</v>
      </c>
      <c r="V31" s="417">
        <f t="shared" si="20"/>
        <v>-10805475.895249831</v>
      </c>
      <c r="W31" s="480">
        <f t="shared" si="20"/>
        <v>-11385729.950824747</v>
      </c>
      <c r="X31" s="480">
        <f t="shared" si="20"/>
        <v>-11997143.649184037</v>
      </c>
      <c r="Y31" s="480">
        <f>Y50</f>
        <v>-12641390.26314522</v>
      </c>
      <c r="Z31" s="417">
        <f t="shared" ref="Z31:AL31" si="21">Z50</f>
        <v>-13320232.920276118</v>
      </c>
      <c r="AA31" s="417">
        <f t="shared" si="21"/>
        <v>-14035529.428094946</v>
      </c>
      <c r="AB31" s="417">
        <f t="shared" si="21"/>
        <v>-14789237.358383644</v>
      </c>
      <c r="AC31" s="417">
        <f t="shared" si="21"/>
        <v>-15583419.404528845</v>
      </c>
      <c r="AD31" s="417">
        <f t="shared" si="21"/>
        <v>-16420249.026552044</v>
      </c>
      <c r="AE31" s="417">
        <f t="shared" si="21"/>
        <v>-17302016.399277888</v>
      </c>
      <c r="AF31" s="417">
        <f t="shared" si="21"/>
        <v>-18231134.679919112</v>
      </c>
      <c r="AG31" s="417">
        <f t="shared" si="21"/>
        <v>-19210146.61223077</v>
      </c>
      <c r="AH31" s="417">
        <f t="shared" si="21"/>
        <v>0</v>
      </c>
      <c r="AI31" s="480">
        <f t="shared" si="21"/>
        <v>0</v>
      </c>
      <c r="AJ31" s="417">
        <f t="shared" si="21"/>
        <v>0</v>
      </c>
      <c r="AK31" s="417">
        <f t="shared" si="21"/>
        <v>0</v>
      </c>
      <c r="AL31" s="494">
        <f t="shared" si="21"/>
        <v>0</v>
      </c>
      <c r="AM31" s="468"/>
      <c r="AN31" s="467"/>
      <c r="AQ31" s="545">
        <v>26</v>
      </c>
    </row>
    <row r="32" spans="1:43" ht="16.2" thickBot="1">
      <c r="A32" s="470" t="s">
        <v>75</v>
      </c>
      <c r="B32" s="478"/>
      <c r="C32" s="462">
        <v>25</v>
      </c>
      <c r="D32" s="426"/>
      <c r="E32" s="467"/>
      <c r="F32" s="468"/>
      <c r="G32" s="447" t="s">
        <v>40</v>
      </c>
      <c r="H32" s="538"/>
      <c r="I32" s="429">
        <f t="shared" ref="I32:AL32" si="22">I22+I23+I30+I31</f>
        <v>-49398.685307592154</v>
      </c>
      <c r="J32" s="430">
        <f t="shared" si="22"/>
        <v>479536.2755212076</v>
      </c>
      <c r="K32" s="430">
        <f t="shared" si="22"/>
        <v>1022418.3452122323</v>
      </c>
      <c r="L32" s="430">
        <f t="shared" si="22"/>
        <v>1579617.2361270748</v>
      </c>
      <c r="M32" s="430">
        <f t="shared" si="22"/>
        <v>2151512.5012913011</v>
      </c>
      <c r="N32" s="430">
        <f t="shared" si="22"/>
        <v>2738493.7971250303</v>
      </c>
      <c r="O32" s="430">
        <f t="shared" si="22"/>
        <v>3282026.7303630449</v>
      </c>
      <c r="P32" s="430">
        <f t="shared" si="22"/>
        <v>3838443.9705306701</v>
      </c>
      <c r="Q32" s="430">
        <f t="shared" si="22"/>
        <v>4408051.6464740075</v>
      </c>
      <c r="R32" s="430">
        <f t="shared" si="22"/>
        <v>4991163.1782050915</v>
      </c>
      <c r="S32" s="504">
        <f t="shared" si="22"/>
        <v>5588099.4509932064</v>
      </c>
      <c r="T32" s="430">
        <f t="shared" si="22"/>
        <v>4547504.7639310323</v>
      </c>
      <c r="U32" s="430">
        <f t="shared" si="22"/>
        <v>5054044.6072736513</v>
      </c>
      <c r="V32" s="430">
        <f t="shared" si="22"/>
        <v>5570970.9338048156</v>
      </c>
      <c r="W32" s="504">
        <f t="shared" si="22"/>
        <v>6098443.5174361188</v>
      </c>
      <c r="X32" s="504">
        <f t="shared" si="22"/>
        <v>6636621.2710756622</v>
      </c>
      <c r="Y32" s="504">
        <f t="shared" si="22"/>
        <v>7185661.9759092443</v>
      </c>
      <c r="Z32" s="430">
        <f t="shared" si="22"/>
        <v>7745721.990793122</v>
      </c>
      <c r="AA32" s="430">
        <f t="shared" si="22"/>
        <v>6622698.114908129</v>
      </c>
      <c r="AB32" s="430">
        <f t="shared" si="22"/>
        <v>-350547.83481658436</v>
      </c>
      <c r="AC32" s="430">
        <f t="shared" si="22"/>
        <v>-298587.23694613948</v>
      </c>
      <c r="AD32" s="430">
        <f t="shared" si="22"/>
        <v>-256194.82000599615</v>
      </c>
      <c r="AE32" s="430">
        <f t="shared" si="22"/>
        <v>-224177.02511899173</v>
      </c>
      <c r="AF32" s="430">
        <f t="shared" si="22"/>
        <v>-203390.54408432916</v>
      </c>
      <c r="AG32" s="430">
        <f t="shared" si="22"/>
        <v>-194745.18304597959</v>
      </c>
      <c r="AH32" s="430">
        <f t="shared" si="22"/>
        <v>0</v>
      </c>
      <c r="AI32" s="504">
        <f t="shared" si="22"/>
        <v>0</v>
      </c>
      <c r="AJ32" s="430">
        <f t="shared" si="22"/>
        <v>0</v>
      </c>
      <c r="AK32" s="430">
        <f t="shared" si="22"/>
        <v>0</v>
      </c>
      <c r="AL32" s="485">
        <f t="shared" si="22"/>
        <v>0</v>
      </c>
      <c r="AM32" s="468"/>
      <c r="AN32" s="467"/>
      <c r="AQ32" s="545">
        <v>27</v>
      </c>
    </row>
    <row r="33" spans="1:45" ht="16.2" thickTop="1">
      <c r="A33" s="474" t="s">
        <v>44</v>
      </c>
      <c r="B33" s="420"/>
      <c r="C33" s="500" t="s">
        <v>45</v>
      </c>
      <c r="D33" s="426"/>
      <c r="E33" s="467"/>
      <c r="F33" s="468"/>
      <c r="G33" s="553"/>
      <c r="H33" s="539"/>
      <c r="I33" s="536"/>
      <c r="J33" s="523"/>
      <c r="K33" s="523"/>
      <c r="L33" s="523"/>
      <c r="M33" s="523"/>
      <c r="N33" s="523"/>
      <c r="O33" s="523"/>
      <c r="P33" s="523"/>
      <c r="Q33" s="523"/>
      <c r="R33" s="523"/>
      <c r="S33" s="497"/>
      <c r="T33" s="523"/>
      <c r="U33" s="523"/>
      <c r="V33" s="523"/>
      <c r="W33" s="497"/>
      <c r="X33" s="497"/>
      <c r="Y33" s="497"/>
      <c r="Z33" s="523"/>
      <c r="AA33" s="523"/>
      <c r="AB33" s="523"/>
      <c r="AC33" s="523"/>
      <c r="AD33" s="523"/>
      <c r="AE33" s="523"/>
      <c r="AF33" s="523"/>
      <c r="AG33" s="523"/>
      <c r="AH33" s="523"/>
      <c r="AI33" s="497"/>
      <c r="AJ33" s="523"/>
      <c r="AK33" s="523"/>
      <c r="AL33" s="505"/>
      <c r="AM33" s="468"/>
      <c r="AN33" s="467"/>
      <c r="AQ33" s="545">
        <v>28</v>
      </c>
    </row>
    <row r="34" spans="1:45" ht="15.6">
      <c r="A34" s="470" t="s">
        <v>15</v>
      </c>
      <c r="B34" s="478"/>
      <c r="C34" s="462">
        <v>10</v>
      </c>
      <c r="E34" s="467"/>
      <c r="F34" s="468"/>
      <c r="G34" s="446" t="s">
        <v>28</v>
      </c>
      <c r="H34" s="548"/>
      <c r="I34" s="522">
        <f t="shared" ref="I34:AL34" si="23">IF($C$21&lt;&gt;0,MAX((($C$21+1-I6)/$C$21),0),0)*($C$7*$C$8/100)*(IF(I6&gt;$C$32,0,$C$20))</f>
        <v>90675859.240000069</v>
      </c>
      <c r="J34" s="522">
        <f t="shared" si="23"/>
        <v>72540687.392000064</v>
      </c>
      <c r="K34" s="522">
        <f t="shared" si="23"/>
        <v>54405515.54400003</v>
      </c>
      <c r="L34" s="522">
        <f t="shared" si="23"/>
        <v>36270343.696000032</v>
      </c>
      <c r="M34" s="522">
        <f t="shared" si="23"/>
        <v>18135171.848000016</v>
      </c>
      <c r="N34" s="522">
        <f t="shared" si="23"/>
        <v>0</v>
      </c>
      <c r="O34" s="522">
        <f t="shared" si="23"/>
        <v>0</v>
      </c>
      <c r="P34" s="522">
        <f t="shared" si="23"/>
        <v>0</v>
      </c>
      <c r="Q34" s="522">
        <f t="shared" si="23"/>
        <v>0</v>
      </c>
      <c r="R34" s="522">
        <f t="shared" si="23"/>
        <v>0</v>
      </c>
      <c r="S34" s="522">
        <f t="shared" si="23"/>
        <v>0</v>
      </c>
      <c r="T34" s="522">
        <f t="shared" si="23"/>
        <v>0</v>
      </c>
      <c r="U34" s="522">
        <f t="shared" si="23"/>
        <v>0</v>
      </c>
      <c r="V34" s="522">
        <f t="shared" si="23"/>
        <v>0</v>
      </c>
      <c r="W34" s="522">
        <f t="shared" si="23"/>
        <v>0</v>
      </c>
      <c r="X34" s="522">
        <f t="shared" si="23"/>
        <v>0</v>
      </c>
      <c r="Y34" s="522">
        <f t="shared" si="23"/>
        <v>0</v>
      </c>
      <c r="Z34" s="522">
        <f t="shared" si="23"/>
        <v>0</v>
      </c>
      <c r="AA34" s="522">
        <f t="shared" si="23"/>
        <v>0</v>
      </c>
      <c r="AB34" s="522">
        <f t="shared" si="23"/>
        <v>0</v>
      </c>
      <c r="AC34" s="522">
        <f t="shared" si="23"/>
        <v>0</v>
      </c>
      <c r="AD34" s="522">
        <f t="shared" si="23"/>
        <v>0</v>
      </c>
      <c r="AE34" s="522">
        <f t="shared" si="23"/>
        <v>0</v>
      </c>
      <c r="AF34" s="522">
        <f t="shared" si="23"/>
        <v>0</v>
      </c>
      <c r="AG34" s="522">
        <f t="shared" si="23"/>
        <v>0</v>
      </c>
      <c r="AH34" s="522">
        <f t="shared" si="23"/>
        <v>0</v>
      </c>
      <c r="AI34" s="522">
        <f t="shared" si="23"/>
        <v>0</v>
      </c>
      <c r="AJ34" s="522">
        <f t="shared" si="23"/>
        <v>0</v>
      </c>
      <c r="AK34" s="522">
        <f t="shared" si="23"/>
        <v>0</v>
      </c>
      <c r="AL34" s="540">
        <f t="shared" si="23"/>
        <v>0</v>
      </c>
      <c r="AM34" s="468"/>
      <c r="AN34" s="467"/>
      <c r="AQ34" s="545">
        <v>29</v>
      </c>
    </row>
    <row r="35" spans="1:45" ht="15.6">
      <c r="A35" s="495" t="s">
        <v>4</v>
      </c>
      <c r="B35" s="508"/>
      <c r="C35" s="483"/>
      <c r="E35" s="467"/>
      <c r="F35" s="468"/>
      <c r="G35" s="591" t="s">
        <v>26</v>
      </c>
      <c r="H35" s="548"/>
      <c r="I35" s="522">
        <f>IF($C$23="NO",0,-I34*$C$30)</f>
        <v>-41137370.440707028</v>
      </c>
      <c r="J35" s="522">
        <f t="shared" ref="J35:AL35" si="24">IF($C$23="NO",0,-J34*$C$30)</f>
        <v>-32909896.352565628</v>
      </c>
      <c r="K35" s="522">
        <f t="shared" si="24"/>
        <v>-24682422.264424212</v>
      </c>
      <c r="L35" s="522">
        <f t="shared" si="24"/>
        <v>-16454948.176282814</v>
      </c>
      <c r="M35" s="522">
        <f>IF($C$23="NO",0,-M34*$C$30)</f>
        <v>-8227474.0881414069</v>
      </c>
      <c r="N35" s="522">
        <f t="shared" si="24"/>
        <v>0</v>
      </c>
      <c r="O35" s="522">
        <f t="shared" si="24"/>
        <v>0</v>
      </c>
      <c r="P35" s="522">
        <f t="shared" si="24"/>
        <v>0</v>
      </c>
      <c r="Q35" s="522">
        <f t="shared" si="24"/>
        <v>0</v>
      </c>
      <c r="R35" s="522">
        <f t="shared" si="24"/>
        <v>0</v>
      </c>
      <c r="S35" s="522">
        <f t="shared" si="24"/>
        <v>0</v>
      </c>
      <c r="T35" s="522">
        <f t="shared" si="24"/>
        <v>0</v>
      </c>
      <c r="U35" s="522">
        <f t="shared" si="24"/>
        <v>0</v>
      </c>
      <c r="V35" s="522">
        <f t="shared" si="24"/>
        <v>0</v>
      </c>
      <c r="W35" s="522">
        <f t="shared" si="24"/>
        <v>0</v>
      </c>
      <c r="X35" s="522">
        <f t="shared" si="24"/>
        <v>0</v>
      </c>
      <c r="Y35" s="522">
        <f t="shared" si="24"/>
        <v>0</v>
      </c>
      <c r="Z35" s="522">
        <f t="shared" si="24"/>
        <v>0</v>
      </c>
      <c r="AA35" s="522">
        <f t="shared" si="24"/>
        <v>0</v>
      </c>
      <c r="AB35" s="522">
        <f t="shared" si="24"/>
        <v>0</v>
      </c>
      <c r="AC35" s="522">
        <f t="shared" si="24"/>
        <v>0</v>
      </c>
      <c r="AD35" s="522">
        <f t="shared" si="24"/>
        <v>0</v>
      </c>
      <c r="AE35" s="522">
        <f t="shared" si="24"/>
        <v>0</v>
      </c>
      <c r="AF35" s="522">
        <f t="shared" si="24"/>
        <v>0</v>
      </c>
      <c r="AG35" s="522">
        <f t="shared" si="24"/>
        <v>0</v>
      </c>
      <c r="AH35" s="522">
        <f t="shared" si="24"/>
        <v>0</v>
      </c>
      <c r="AI35" s="522">
        <f t="shared" si="24"/>
        <v>0</v>
      </c>
      <c r="AJ35" s="522">
        <f t="shared" si="24"/>
        <v>0</v>
      </c>
      <c r="AK35" s="522">
        <f t="shared" si="24"/>
        <v>0</v>
      </c>
      <c r="AL35" s="540">
        <f t="shared" si="24"/>
        <v>0</v>
      </c>
      <c r="AM35" s="468"/>
      <c r="AN35" s="467"/>
      <c r="AQ35" s="545">
        <v>30</v>
      </c>
    </row>
    <row r="36" spans="1:45" ht="16.2" thickBot="1">
      <c r="A36" s="474" t="s">
        <v>5</v>
      </c>
      <c r="B36" s="530" t="s">
        <v>89</v>
      </c>
      <c r="C36" s="567">
        <f>2%*C6</f>
        <v>11000000</v>
      </c>
      <c r="D36" s="425"/>
      <c r="E36" s="467"/>
      <c r="F36" s="468"/>
      <c r="G36" s="447" t="s">
        <v>41</v>
      </c>
      <c r="H36" s="538"/>
      <c r="I36" s="431">
        <f>I34+I32+I35</f>
        <v>49489090.113985449</v>
      </c>
      <c r="J36" s="432">
        <f t="shared" ref="J36:AL36" si="25">J34+J32+J35</f>
        <v>40110327.314955637</v>
      </c>
      <c r="K36" s="432">
        <f t="shared" si="25"/>
        <v>30745511.624788053</v>
      </c>
      <c r="L36" s="432">
        <f t="shared" si="25"/>
        <v>21395012.755844288</v>
      </c>
      <c r="M36" s="432">
        <f t="shared" si="25"/>
        <v>12059210.261149909</v>
      </c>
      <c r="N36" s="432">
        <f>N34+N32+N35</f>
        <v>2738493.7971250303</v>
      </c>
      <c r="O36" s="432">
        <f t="shared" si="25"/>
        <v>3282026.7303630449</v>
      </c>
      <c r="P36" s="432">
        <f t="shared" si="25"/>
        <v>3838443.9705306701</v>
      </c>
      <c r="Q36" s="432">
        <f t="shared" si="25"/>
        <v>4408051.6464740075</v>
      </c>
      <c r="R36" s="432">
        <f t="shared" si="25"/>
        <v>4991163.1782050915</v>
      </c>
      <c r="S36" s="501">
        <f t="shared" si="25"/>
        <v>5588099.4509932064</v>
      </c>
      <c r="T36" s="432">
        <f t="shared" si="25"/>
        <v>4547504.7639310323</v>
      </c>
      <c r="U36" s="432">
        <f t="shared" si="25"/>
        <v>5054044.6072736513</v>
      </c>
      <c r="V36" s="432">
        <f t="shared" si="25"/>
        <v>5570970.9338048156</v>
      </c>
      <c r="W36" s="501">
        <f t="shared" si="25"/>
        <v>6098443.5174361188</v>
      </c>
      <c r="X36" s="501">
        <f t="shared" si="25"/>
        <v>6636621.2710756622</v>
      </c>
      <c r="Y36" s="501">
        <f t="shared" si="25"/>
        <v>7185661.9759092443</v>
      </c>
      <c r="Z36" s="432">
        <f t="shared" si="25"/>
        <v>7745721.990793122</v>
      </c>
      <c r="AA36" s="432">
        <f t="shared" si="25"/>
        <v>6622698.114908129</v>
      </c>
      <c r="AB36" s="432">
        <f t="shared" si="25"/>
        <v>-350547.83481658436</v>
      </c>
      <c r="AC36" s="432">
        <f t="shared" si="25"/>
        <v>-298587.23694613948</v>
      </c>
      <c r="AD36" s="432">
        <f t="shared" si="25"/>
        <v>-256194.82000599615</v>
      </c>
      <c r="AE36" s="432">
        <f t="shared" si="25"/>
        <v>-224177.02511899173</v>
      </c>
      <c r="AF36" s="432">
        <f t="shared" si="25"/>
        <v>-203390.54408432916</v>
      </c>
      <c r="AG36" s="432">
        <f t="shared" si="25"/>
        <v>-194745.18304597959</v>
      </c>
      <c r="AH36" s="432">
        <f t="shared" si="25"/>
        <v>0</v>
      </c>
      <c r="AI36" s="501">
        <f t="shared" si="25"/>
        <v>0</v>
      </c>
      <c r="AJ36" s="432">
        <f t="shared" si="25"/>
        <v>0</v>
      </c>
      <c r="AK36" s="432">
        <f t="shared" si="25"/>
        <v>0</v>
      </c>
      <c r="AL36" s="498">
        <f t="shared" si="25"/>
        <v>0</v>
      </c>
      <c r="AM36" s="468"/>
      <c r="AN36" s="467"/>
    </row>
    <row r="37" spans="1:45" ht="16.2" thickTop="1">
      <c r="A37" s="474" t="s">
        <v>6</v>
      </c>
      <c r="B37" s="530" t="s">
        <v>89</v>
      </c>
      <c r="C37" s="567">
        <v>0</v>
      </c>
      <c r="D37" s="425"/>
      <c r="E37" s="467"/>
      <c r="F37" s="468"/>
      <c r="G37" s="553"/>
      <c r="H37" s="539"/>
      <c r="I37" s="537"/>
      <c r="J37" s="522"/>
      <c r="K37" s="522"/>
      <c r="L37" s="522"/>
      <c r="M37" s="522"/>
      <c r="N37" s="522"/>
      <c r="O37" s="522"/>
      <c r="P37" s="522"/>
      <c r="Q37" s="522"/>
      <c r="R37" s="522"/>
      <c r="S37" s="490"/>
      <c r="T37" s="522"/>
      <c r="U37" s="522"/>
      <c r="V37" s="522"/>
      <c r="W37" s="490"/>
      <c r="X37" s="490"/>
      <c r="Y37" s="490"/>
      <c r="Z37" s="522"/>
      <c r="AA37" s="522"/>
      <c r="AB37" s="522"/>
      <c r="AC37" s="522"/>
      <c r="AD37" s="522"/>
      <c r="AE37" s="522"/>
      <c r="AF37" s="522"/>
      <c r="AG37" s="522"/>
      <c r="AH37" s="522"/>
      <c r="AI37" s="490"/>
      <c r="AJ37" s="522"/>
      <c r="AK37" s="522"/>
      <c r="AL37" s="540"/>
      <c r="AM37" s="468"/>
      <c r="AN37" s="467"/>
    </row>
    <row r="38" spans="1:45" ht="16.2" thickBot="1">
      <c r="A38" s="474" t="s">
        <v>7</v>
      </c>
      <c r="B38" s="530" t="s">
        <v>89</v>
      </c>
      <c r="C38" s="567">
        <v>0</v>
      </c>
      <c r="D38" s="425"/>
      <c r="E38" s="467"/>
      <c r="F38" s="468"/>
      <c r="G38" s="446" t="s">
        <v>38</v>
      </c>
      <c r="H38" s="549"/>
      <c r="I38" s="427">
        <f t="shared" ref="I38:AL38" si="26">IF(I6&gt;$C$32,0,(I32)/(1+$C$28)^(I6-0.5))</f>
        <v>-47330.559569891484</v>
      </c>
      <c r="J38" s="427">
        <f t="shared" si="26"/>
        <v>421793.81817209412</v>
      </c>
      <c r="K38" s="427">
        <f t="shared" si="26"/>
        <v>825581.35135310225</v>
      </c>
      <c r="L38" s="427">
        <f t="shared" si="26"/>
        <v>1170942.5862083773</v>
      </c>
      <c r="M38" s="427">
        <f t="shared" si="26"/>
        <v>1464131.5781729254</v>
      </c>
      <c r="N38" s="427">
        <f t="shared" si="26"/>
        <v>1710804.9240676293</v>
      </c>
      <c r="O38" s="427">
        <f t="shared" si="26"/>
        <v>1882276.1535385186</v>
      </c>
      <c r="P38" s="427">
        <f t="shared" si="26"/>
        <v>2020919.0994762464</v>
      </c>
      <c r="Q38" s="427">
        <f t="shared" si="26"/>
        <v>2130555.7036160855</v>
      </c>
      <c r="R38" s="427">
        <f t="shared" si="26"/>
        <v>2214626.4583225413</v>
      </c>
      <c r="S38" s="427">
        <f t="shared" si="26"/>
        <v>2276225.7837965582</v>
      </c>
      <c r="T38" s="427">
        <f t="shared" si="26"/>
        <v>1700500.9188073813</v>
      </c>
      <c r="U38" s="427">
        <f t="shared" si="26"/>
        <v>1734983.2058580741</v>
      </c>
      <c r="V38" s="427">
        <f t="shared" si="26"/>
        <v>1755656.6810716616</v>
      </c>
      <c r="W38" s="427">
        <f t="shared" si="26"/>
        <v>1764331.5615828275</v>
      </c>
      <c r="X38" s="427">
        <f t="shared" si="26"/>
        <v>1762628.2581150054</v>
      </c>
      <c r="Y38" s="427">
        <f t="shared" si="26"/>
        <v>1751995.4484182047</v>
      </c>
      <c r="Z38" s="427">
        <f t="shared" si="26"/>
        <v>1733726.5169695723</v>
      </c>
      <c r="AA38" s="427">
        <f t="shared" si="26"/>
        <v>1360837.1028228188</v>
      </c>
      <c r="AB38" s="427">
        <f t="shared" si="26"/>
        <v>-66125.804405662799</v>
      </c>
      <c r="AC38" s="427">
        <f t="shared" si="26"/>
        <v>-51706.770740233529</v>
      </c>
      <c r="AD38" s="427">
        <f t="shared" si="26"/>
        <v>-40728.556340855968</v>
      </c>
      <c r="AE38" s="427">
        <f t="shared" si="26"/>
        <v>-32716.909294506393</v>
      </c>
      <c r="AF38" s="427">
        <f t="shared" si="26"/>
        <v>-27249.869245724622</v>
      </c>
      <c r="AG38" s="427">
        <f t="shared" si="26"/>
        <v>-23952.612319764059</v>
      </c>
      <c r="AH38" s="427">
        <f t="shared" si="26"/>
        <v>0</v>
      </c>
      <c r="AI38" s="427">
        <f t="shared" si="26"/>
        <v>0</v>
      </c>
      <c r="AJ38" s="427">
        <f t="shared" si="26"/>
        <v>0</v>
      </c>
      <c r="AK38" s="427">
        <f t="shared" si="26"/>
        <v>0</v>
      </c>
      <c r="AL38" s="499">
        <f t="shared" si="26"/>
        <v>0</v>
      </c>
      <c r="AM38" s="468"/>
      <c r="AN38" s="467"/>
      <c r="AQ38" s="545" t="s">
        <v>99</v>
      </c>
    </row>
    <row r="39" spans="1:45" ht="16.8" thickTop="1" thickBot="1">
      <c r="A39" s="474" t="s">
        <v>139</v>
      </c>
      <c r="B39" s="530" t="s">
        <v>89</v>
      </c>
      <c r="C39" s="567">
        <v>0</v>
      </c>
      <c r="E39" s="467"/>
      <c r="F39" s="468"/>
      <c r="G39" s="446" t="s">
        <v>39</v>
      </c>
      <c r="H39" s="549"/>
      <c r="I39" s="427">
        <f t="shared" ref="I39:AL39" si="27">IF(I6&gt;$C$32,0,(I36)/(1+$C$28)^(I6-0.5))</f>
        <v>47417179.487967417</v>
      </c>
      <c r="J39" s="427">
        <f t="shared" si="27"/>
        <v>35280517.804245576</v>
      </c>
      <c r="K39" s="427">
        <f t="shared" si="27"/>
        <v>24826355.233254429</v>
      </c>
      <c r="L39" s="427">
        <f t="shared" si="27"/>
        <v>15859748.168938158</v>
      </c>
      <c r="M39" s="427">
        <f t="shared" si="27"/>
        <v>8206445.7169454331</v>
      </c>
      <c r="N39" s="427">
        <f t="shared" si="27"/>
        <v>1710804.9240676293</v>
      </c>
      <c r="O39" s="427">
        <f t="shared" si="27"/>
        <v>1882276.1535385186</v>
      </c>
      <c r="P39" s="427">
        <f t="shared" si="27"/>
        <v>2020919.0994762464</v>
      </c>
      <c r="Q39" s="427">
        <f t="shared" si="27"/>
        <v>2130555.7036160855</v>
      </c>
      <c r="R39" s="427">
        <f t="shared" si="27"/>
        <v>2214626.4583225413</v>
      </c>
      <c r="S39" s="427">
        <f t="shared" si="27"/>
        <v>2276225.7837965582</v>
      </c>
      <c r="T39" s="427">
        <f t="shared" si="27"/>
        <v>1700500.9188073813</v>
      </c>
      <c r="U39" s="427">
        <f t="shared" si="27"/>
        <v>1734983.2058580741</v>
      </c>
      <c r="V39" s="427">
        <f t="shared" si="27"/>
        <v>1755656.6810716616</v>
      </c>
      <c r="W39" s="427">
        <f t="shared" si="27"/>
        <v>1764331.5615828275</v>
      </c>
      <c r="X39" s="427">
        <f t="shared" si="27"/>
        <v>1762628.2581150054</v>
      </c>
      <c r="Y39" s="427">
        <f t="shared" si="27"/>
        <v>1751995.4484182047</v>
      </c>
      <c r="Z39" s="427">
        <f t="shared" si="27"/>
        <v>1733726.5169695723</v>
      </c>
      <c r="AA39" s="427">
        <f t="shared" si="27"/>
        <v>1360837.1028228188</v>
      </c>
      <c r="AB39" s="427">
        <f t="shared" si="27"/>
        <v>-66125.804405662799</v>
      </c>
      <c r="AC39" s="427">
        <f t="shared" si="27"/>
        <v>-51706.770740233529</v>
      </c>
      <c r="AD39" s="427">
        <f t="shared" si="27"/>
        <v>-40728.556340855968</v>
      </c>
      <c r="AE39" s="427">
        <f t="shared" si="27"/>
        <v>-32716.909294506393</v>
      </c>
      <c r="AF39" s="427">
        <f t="shared" si="27"/>
        <v>-27249.869245724622</v>
      </c>
      <c r="AG39" s="427">
        <f t="shared" si="27"/>
        <v>-23952.612319764059</v>
      </c>
      <c r="AH39" s="427">
        <f t="shared" si="27"/>
        <v>0</v>
      </c>
      <c r="AI39" s="427">
        <f t="shared" si="27"/>
        <v>0</v>
      </c>
      <c r="AJ39" s="427">
        <f t="shared" si="27"/>
        <v>0</v>
      </c>
      <c r="AK39" s="427">
        <f t="shared" si="27"/>
        <v>0</v>
      </c>
      <c r="AL39" s="499">
        <f t="shared" si="27"/>
        <v>0</v>
      </c>
      <c r="AM39" s="468"/>
      <c r="AN39" s="467"/>
      <c r="AQ39" s="572">
        <f>'ICAP Price&amp;Impact'!N50</f>
        <v>-1.3191E-2</v>
      </c>
    </row>
    <row r="40" spans="1:45" ht="16.8" thickTop="1" thickBot="1">
      <c r="A40" s="495" t="s">
        <v>35</v>
      </c>
      <c r="B40" s="575"/>
      <c r="C40" s="419"/>
      <c r="E40" s="467"/>
      <c r="F40" s="468"/>
      <c r="G40" s="448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79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59"/>
      <c r="AM40" s="468"/>
      <c r="AN40" s="467"/>
    </row>
    <row r="41" spans="1:45" ht="16.2" thickBot="1">
      <c r="A41" s="474" t="s">
        <v>90</v>
      </c>
      <c r="B41" s="519"/>
      <c r="C41" s="593">
        <f>((1+C27)/(1+C$29))-1</f>
        <v>3.0009775171065733E-2</v>
      </c>
      <c r="D41" s="534"/>
      <c r="E41" s="467"/>
      <c r="F41" s="468"/>
      <c r="G41" s="487" t="s">
        <v>24</v>
      </c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3"/>
      <c r="AM41" s="468"/>
      <c r="AN41" s="467"/>
    </row>
    <row r="42" spans="1:45" ht="15.6">
      <c r="A42" s="474" t="s">
        <v>91</v>
      </c>
      <c r="B42" s="519"/>
      <c r="C42" s="593">
        <f>((1+C28)/(1+C$29))-1</f>
        <v>6.4809384164222994E-2</v>
      </c>
      <c r="E42" s="467"/>
      <c r="F42" s="468"/>
      <c r="G42" s="453" t="s">
        <v>43</v>
      </c>
      <c r="H42" s="555"/>
      <c r="I42" s="516">
        <f>IF($C$33="MACRS",VLOOKUP($C$34,'Depreciation Tables'!$B$35:$AF$40,I6+1),IF($C$33="StraightLine",VLOOKUP($C$34,'Depreciation Tables'!$B$3:$AF$32,I6+1),VLOOKUP($C$34,'Depreciation Tables'!$B$43:$AF$44,I6+1)))</f>
        <v>0.1</v>
      </c>
      <c r="J42" s="516">
        <f>IF($C$33="MACRS",VLOOKUP($C$34,'Depreciation Tables'!$B$35:$AF$40,J6+1),IF($C$33="StraightLine",VLOOKUP($C$34,'Depreciation Tables'!$B$3:$AF$32,J6+1),VLOOKUP($C$34,'Depreciation Tables'!$B$43:$AF$44,J6+1)))</f>
        <v>0.18</v>
      </c>
      <c r="K42" s="516">
        <f>IF($C$33="MACRS",VLOOKUP($C$34,'Depreciation Tables'!$B$35:$AF$40,K6+1),IF($C$33="StraightLine",VLOOKUP($C$34,'Depreciation Tables'!$B$3:$AF$32,K6+1),VLOOKUP($C$34,'Depreciation Tables'!$B$43:$AF$44,K6+1)))</f>
        <v>0.14399999999999999</v>
      </c>
      <c r="L42" s="516">
        <f>IF($C$33="MACRS",VLOOKUP($C$34,'Depreciation Tables'!$B$35:$AF$40,L6+1),IF($C$33="StraightLine",VLOOKUP($C$34,'Depreciation Tables'!$B$3:$AF$32,L6+1),VLOOKUP($C$34,'Depreciation Tables'!$B$43:$AF$44,L6+1)))</f>
        <v>0.1152</v>
      </c>
      <c r="M42" s="516">
        <f>IF($C$33="MACRS",VLOOKUP($C$34,'Depreciation Tables'!$B$35:$AF$40,M6+1),IF($C$33="StraightLine",VLOOKUP($C$34,'Depreciation Tables'!$B$3:$AF$32,M6+1),VLOOKUP($C$34,'Depreciation Tables'!$B$43:$AF$44,M6+1)))</f>
        <v>9.2200000000000004E-2</v>
      </c>
      <c r="N42" s="516">
        <f>IF($C$33="MACRS",VLOOKUP($C$34,'Depreciation Tables'!$B$35:$AF$40,N6+1),IF($C$33="StraightLine",VLOOKUP($C$34,'Depreciation Tables'!$B$3:$AF$32,N6+1),VLOOKUP($C$34,'Depreciation Tables'!$B$43:$AF$44,N6+1)))</f>
        <v>7.3700000000000002E-2</v>
      </c>
      <c r="O42" s="516">
        <f>IF($C$33="MACRS",VLOOKUP($C$34,'Depreciation Tables'!$B$35:$AF$40,O6+1),IF($C$33="StraightLine",VLOOKUP($C$34,'Depreciation Tables'!$B$3:$AF$32,O6+1),VLOOKUP($C$34,'Depreciation Tables'!$B$43:$AF$44,O6+1)))</f>
        <v>6.5500000000000003E-2</v>
      </c>
      <c r="P42" s="516">
        <f>IF($C$33="MACRS",VLOOKUP($C$34,'Depreciation Tables'!$B$35:$AF$40,P6+1),IF($C$33="StraightLine",VLOOKUP($C$34,'Depreciation Tables'!$B$3:$AF$32,P6+1),VLOOKUP($C$34,'Depreciation Tables'!$B$43:$AF$44,P6+1)))</f>
        <v>6.5500000000000003E-2</v>
      </c>
      <c r="Q42" s="516">
        <f>IF($C$33="MACRS",VLOOKUP($C$34,'Depreciation Tables'!$B$35:$AF$40,Q6+1),IF($C$33="StraightLine",VLOOKUP($C$34,'Depreciation Tables'!$B$3:$AF$32,Q6+1),VLOOKUP($C$34,'Depreciation Tables'!$B$43:$AF$44,Q6+1)))</f>
        <v>6.5600000000000006E-2</v>
      </c>
      <c r="R42" s="516">
        <f>IF($C$33="MACRS",VLOOKUP($C$34,'Depreciation Tables'!$B$35:$AF$40,R6+1),IF($C$33="StraightLine",VLOOKUP($C$34,'Depreciation Tables'!$B$3:$AF$32,R6+1),VLOOKUP($C$34,'Depreciation Tables'!$B$43:$AF$44,R6+1)))</f>
        <v>6.5500000000000003E-2</v>
      </c>
      <c r="S42" s="516">
        <f>IF($C$33="MACRS",VLOOKUP($C$34,'Depreciation Tables'!$B$35:$AF$40,S6+1),IF($C$33="StraightLine",VLOOKUP($C$34,'Depreciation Tables'!$B$3:$AF$32,S6+1),VLOOKUP($C$34,'Depreciation Tables'!$B$43:$AF$44,S6+1)))</f>
        <v>3.2800000000000003E-2</v>
      </c>
      <c r="T42" s="516">
        <f>IF($C$33="MACRS",VLOOKUP($C$34,'Depreciation Tables'!$B$35:$AF$40,T6+1),IF($C$33="StraightLine",VLOOKUP($C$34,'Depreciation Tables'!$B$3:$AF$32,T6+1),VLOOKUP($C$34,'Depreciation Tables'!$B$43:$AF$44,T6+1)))</f>
        <v>0</v>
      </c>
      <c r="U42" s="516">
        <f>IF($C$33="MACRS",VLOOKUP($C$34,'Depreciation Tables'!$B$35:$AF$40,U6+1),IF($C$33="StraightLine",VLOOKUP($C$34,'Depreciation Tables'!$B$3:$AF$32,U6+1),VLOOKUP($C$34,'Depreciation Tables'!$B$43:$AF$44,U6+1)))</f>
        <v>0</v>
      </c>
      <c r="V42" s="516">
        <f>IF($C$33="MACRS",VLOOKUP($C$34,'Depreciation Tables'!$B$35:$AF$40,V6+1),IF($C$33="StraightLine",VLOOKUP($C$34,'Depreciation Tables'!$B$3:$AF$32,V6+1),VLOOKUP($C$34,'Depreciation Tables'!$B$43:$AF$44,V6+1)))</f>
        <v>0</v>
      </c>
      <c r="W42" s="516">
        <f>IF($C$33="MACRS",VLOOKUP($C$34,'Depreciation Tables'!$B$35:$AF$40,W6+1),IF($C$33="StraightLine",VLOOKUP($C$34,'Depreciation Tables'!$B$3:$AF$32,W6+1),VLOOKUP($C$34,'Depreciation Tables'!$B$43:$AF$44,W6+1)))</f>
        <v>0</v>
      </c>
      <c r="X42" s="516">
        <f>IF($C$33="MACRS",VLOOKUP($C$34,'Depreciation Tables'!$B$35:$AF$40,X6+1),IF($C$33="StraightLine",VLOOKUP($C$34,'Depreciation Tables'!$B$3:$AF$32,X6+1),VLOOKUP($C$34,'Depreciation Tables'!$B$43:$AF$44,X6+1)))</f>
        <v>0</v>
      </c>
      <c r="Y42" s="516">
        <f>IF($C$33="MACRS",VLOOKUP($C$34,'Depreciation Tables'!$B$35:$AF$40,Y6+1),IF($C$33="StraightLine",VLOOKUP($C$34,'Depreciation Tables'!$B$3:$AF$32,Y6+1),VLOOKUP($C$34,'Depreciation Tables'!$B$43:$AF$44,Y6+1)))</f>
        <v>0</v>
      </c>
      <c r="Z42" s="516">
        <f>IF($C$33="MACRS",VLOOKUP($C$34,'Depreciation Tables'!$B$35:$AF$40,Z6+1),IF($C$33="StraightLine",VLOOKUP($C$34,'Depreciation Tables'!$B$3:$AF$32,Z6+1),VLOOKUP($C$34,'Depreciation Tables'!$B$43:$AF$44,Z6+1)))</f>
        <v>0</v>
      </c>
      <c r="AA42" s="516">
        <f>IF($C$33="MACRS",VLOOKUP($C$34,'Depreciation Tables'!$B$35:$AF$40,AA6+1),IF($C$33="StraightLine",VLOOKUP($C$34,'Depreciation Tables'!$B$3:$AF$32,AA6+1),VLOOKUP($C$34,'Depreciation Tables'!$B$43:$AF$44,AA6+1)))</f>
        <v>0</v>
      </c>
      <c r="AB42" s="516">
        <f>IF($C$33="MACRS",VLOOKUP($C$34,'Depreciation Tables'!$B$35:$AF$40,AB6+1),IF($C$33="StraightLine",VLOOKUP($C$34,'Depreciation Tables'!$B$3:$AF$32,AB6+1),VLOOKUP($C$34,'Depreciation Tables'!$B$43:$AF$44,AB6+1)))</f>
        <v>0</v>
      </c>
      <c r="AC42" s="516">
        <f>IF($C$33="MACRS",VLOOKUP($C$34,'Depreciation Tables'!$B$35:$AF$40,AC6+1),IF($C$33="StraightLine",VLOOKUP($C$34,'Depreciation Tables'!$B$3:$AF$32,AC6+1),VLOOKUP($C$34,'Depreciation Tables'!$B$43:$AF$44,AC6+1)))</f>
        <v>0</v>
      </c>
      <c r="AD42" s="516">
        <f>IF($C$33="MACRS",VLOOKUP($C$34,'Depreciation Tables'!$B$35:$AF$40,AD6+1),IF($C$33="StraightLine",VLOOKUP($C$34,'Depreciation Tables'!$B$3:$AF$32,AD6+1),VLOOKUP($C$34,'Depreciation Tables'!$B$43:$AF$44,AD6+1)))</f>
        <v>0</v>
      </c>
      <c r="AE42" s="516">
        <f>IF($C$33="MACRS",VLOOKUP($C$34,'Depreciation Tables'!$B$35:$AF$40,AE6+1),IF($C$33="StraightLine",VLOOKUP($C$34,'Depreciation Tables'!$B$3:$AF$32,AE6+1),VLOOKUP($C$34,'Depreciation Tables'!$B$43:$AF$44,AE6+1)))</f>
        <v>0</v>
      </c>
      <c r="AF42" s="516">
        <f>IF($C$33="MACRS",VLOOKUP($C$34,'Depreciation Tables'!$B$35:$AF$40,AF6+1),IF($C$33="StraightLine",VLOOKUP($C$34,'Depreciation Tables'!$B$3:$AF$32,AF6+1),VLOOKUP($C$34,'Depreciation Tables'!$B$43:$AF$44,AF6+1)))</f>
        <v>0</v>
      </c>
      <c r="AG42" s="516">
        <f>IF($C$33="MACRS",VLOOKUP($C$34,'Depreciation Tables'!$B$35:$AF$40,AG6+1),IF($C$33="StraightLine",VLOOKUP($C$34,'Depreciation Tables'!$B$3:$AF$32,AG6+1),VLOOKUP($C$34,'Depreciation Tables'!$B$43:$AF$44,AG6+1)))</f>
        <v>0</v>
      </c>
      <c r="AH42" s="516">
        <f>IF($C$33="MACRS",VLOOKUP($C$34,'Depreciation Tables'!$B$35:$AF$40,AH6+1),IF($C$33="StraightLine",VLOOKUP($C$34,'Depreciation Tables'!$B$3:$AF$32,AH6+1),VLOOKUP($C$34,'Depreciation Tables'!$B$43:$AF$44,AH6+1)))</f>
        <v>0</v>
      </c>
      <c r="AI42" s="516">
        <f>IF($C$33="MACRS",VLOOKUP($C$34,'Depreciation Tables'!$B$35:$AF$40,AI6+1),IF($C$33="StraightLine",VLOOKUP($C$34,'Depreciation Tables'!$B$3:$AF$32,AI6+1),VLOOKUP($C$34,'Depreciation Tables'!$B$43:$AF$44,AI6+1)))</f>
        <v>0</v>
      </c>
      <c r="AJ42" s="516">
        <f>IF($C$33="MACRS",VLOOKUP($C$34,'Depreciation Tables'!$B$35:$AF$40,AJ6+1),IF($C$33="StraightLine",VLOOKUP($C$34,'Depreciation Tables'!$B$3:$AF$32,AJ6+1),VLOOKUP($C$34,'Depreciation Tables'!$B$43:$AF$44,AJ6+1)))</f>
        <v>0</v>
      </c>
      <c r="AK42" s="516">
        <f>IF($C$33="MACRS",VLOOKUP($C$34,'Depreciation Tables'!$B$35:$AF$40,AK6+1),IF($C$33="StraightLine",VLOOKUP($C$34,'Depreciation Tables'!$B$3:$AF$32,AK6+1),VLOOKUP($C$34,'Depreciation Tables'!$B$43:$AF$44,AK6+1)))</f>
        <v>0</v>
      </c>
      <c r="AL42" s="517">
        <f>IF($C$33="MACRS",VLOOKUP($C$34,'Depreciation Tables'!$B$35:$AF$40,AL6+1),IF($C$33="StraightLine",VLOOKUP($C$34,'Depreciation Tables'!$B$3:$AF$32,AL6+1),VLOOKUP($C$34,'Depreciation Tables'!$B$43:$AF$44,AL6+1)))</f>
        <v>0</v>
      </c>
      <c r="AM42" s="468"/>
      <c r="AN42" s="467"/>
    </row>
    <row r="43" spans="1:45" ht="15.6">
      <c r="A43" s="474" t="s">
        <v>92</v>
      </c>
      <c r="B43" s="519"/>
      <c r="C43" s="593">
        <f>C25*C41+C26*C42</f>
        <v>4.7409579667644364E-2</v>
      </c>
      <c r="D43" s="534"/>
      <c r="E43" s="467"/>
      <c r="F43" s="468"/>
      <c r="G43" s="551" t="s">
        <v>30</v>
      </c>
      <c r="H43" s="528"/>
      <c r="I43" s="544">
        <f>C6</f>
        <v>550000000</v>
      </c>
      <c r="J43" s="544">
        <f>I45</f>
        <v>495000000</v>
      </c>
      <c r="K43" s="544">
        <f t="shared" ref="K43:R43" si="28">J45</f>
        <v>396000000</v>
      </c>
      <c r="L43" s="544">
        <f t="shared" si="28"/>
        <v>316800000</v>
      </c>
      <c r="M43" s="544">
        <f t="shared" si="28"/>
        <v>253440000</v>
      </c>
      <c r="N43" s="544">
        <f t="shared" si="28"/>
        <v>202730000</v>
      </c>
      <c r="O43" s="544">
        <f t="shared" si="28"/>
        <v>162195000</v>
      </c>
      <c r="P43" s="544">
        <f t="shared" si="28"/>
        <v>126170000</v>
      </c>
      <c r="Q43" s="544">
        <f t="shared" si="28"/>
        <v>90145000</v>
      </c>
      <c r="R43" s="544">
        <f t="shared" si="28"/>
        <v>54065000</v>
      </c>
      <c r="S43" s="544">
        <f t="shared" ref="S43:Y43" si="29">R45</f>
        <v>18040000</v>
      </c>
      <c r="T43" s="544">
        <f t="shared" si="29"/>
        <v>0</v>
      </c>
      <c r="U43" s="544">
        <f t="shared" si="29"/>
        <v>0</v>
      </c>
      <c r="V43" s="544">
        <f t="shared" si="29"/>
        <v>0</v>
      </c>
      <c r="W43" s="544">
        <f t="shared" si="29"/>
        <v>0</v>
      </c>
      <c r="X43" s="544">
        <f t="shared" si="29"/>
        <v>0</v>
      </c>
      <c r="Y43" s="544">
        <f t="shared" si="29"/>
        <v>0</v>
      </c>
      <c r="Z43" s="544">
        <f t="shared" ref="Z43:AG43" si="30">Y45</f>
        <v>0</v>
      </c>
      <c r="AA43" s="544">
        <f t="shared" si="30"/>
        <v>0</v>
      </c>
      <c r="AB43" s="544">
        <f t="shared" si="30"/>
        <v>0</v>
      </c>
      <c r="AC43" s="544">
        <f t="shared" si="30"/>
        <v>0</v>
      </c>
      <c r="AD43" s="544">
        <f t="shared" si="30"/>
        <v>0</v>
      </c>
      <c r="AE43" s="544">
        <f t="shared" si="30"/>
        <v>0</v>
      </c>
      <c r="AF43" s="544">
        <f t="shared" si="30"/>
        <v>0</v>
      </c>
      <c r="AG43" s="544">
        <f t="shared" si="30"/>
        <v>0</v>
      </c>
      <c r="AH43" s="544">
        <f>AG45</f>
        <v>0</v>
      </c>
      <c r="AI43" s="544">
        <f>AH45</f>
        <v>0</v>
      </c>
      <c r="AJ43" s="544">
        <f>AI45</f>
        <v>0</v>
      </c>
      <c r="AK43" s="544">
        <f>AJ45</f>
        <v>0</v>
      </c>
      <c r="AL43" s="557">
        <f>AK45</f>
        <v>0</v>
      </c>
      <c r="AM43" s="468"/>
      <c r="AN43" s="467"/>
    </row>
    <row r="44" spans="1:45" ht="15.6">
      <c r="A44" s="474" t="s">
        <v>36</v>
      </c>
      <c r="B44" s="530"/>
      <c r="C44" s="522">
        <f>PMT(C27,C32,(C25*C6))</f>
        <v>-20241731.485307593</v>
      </c>
      <c r="E44" s="467"/>
      <c r="F44" s="468"/>
      <c r="G44" s="551" t="s">
        <v>29</v>
      </c>
      <c r="H44" s="528"/>
      <c r="I44" s="537">
        <f>-MIN($I$43*I42,I43)</f>
        <v>-55000000</v>
      </c>
      <c r="J44" s="537">
        <f t="shared" ref="J44:AL44" si="31">-MIN($I$43*J42,J43)</f>
        <v>-99000000</v>
      </c>
      <c r="K44" s="537">
        <f t="shared" si="31"/>
        <v>-79200000</v>
      </c>
      <c r="L44" s="537">
        <f t="shared" si="31"/>
        <v>-63360000</v>
      </c>
      <c r="M44" s="537">
        <f t="shared" si="31"/>
        <v>-50710000</v>
      </c>
      <c r="N44" s="537">
        <f t="shared" si="31"/>
        <v>-40535000</v>
      </c>
      <c r="O44" s="537">
        <f t="shared" si="31"/>
        <v>-36025000</v>
      </c>
      <c r="P44" s="537">
        <f t="shared" si="31"/>
        <v>-36025000</v>
      </c>
      <c r="Q44" s="537">
        <f t="shared" si="31"/>
        <v>-36080000</v>
      </c>
      <c r="R44" s="438">
        <f t="shared" si="31"/>
        <v>-36025000</v>
      </c>
      <c r="S44" s="438">
        <f t="shared" si="31"/>
        <v>-18040000</v>
      </c>
      <c r="T44" s="438">
        <f t="shared" si="31"/>
        <v>0</v>
      </c>
      <c r="U44" s="438">
        <f t="shared" si="31"/>
        <v>0</v>
      </c>
      <c r="V44" s="438">
        <f t="shared" si="31"/>
        <v>0</v>
      </c>
      <c r="W44" s="438">
        <f t="shared" si="31"/>
        <v>0</v>
      </c>
      <c r="X44" s="438">
        <f t="shared" si="31"/>
        <v>0</v>
      </c>
      <c r="Y44" s="438">
        <f t="shared" si="31"/>
        <v>0</v>
      </c>
      <c r="Z44" s="537">
        <f t="shared" si="31"/>
        <v>0</v>
      </c>
      <c r="AA44" s="537">
        <f t="shared" si="31"/>
        <v>0</v>
      </c>
      <c r="AB44" s="537">
        <f t="shared" si="31"/>
        <v>0</v>
      </c>
      <c r="AC44" s="537">
        <f t="shared" si="31"/>
        <v>0</v>
      </c>
      <c r="AD44" s="537">
        <f t="shared" si="31"/>
        <v>0</v>
      </c>
      <c r="AE44" s="537">
        <f t="shared" si="31"/>
        <v>0</v>
      </c>
      <c r="AF44" s="537">
        <f t="shared" si="31"/>
        <v>0</v>
      </c>
      <c r="AG44" s="438">
        <f t="shared" si="31"/>
        <v>0</v>
      </c>
      <c r="AH44" s="438">
        <f t="shared" si="31"/>
        <v>0</v>
      </c>
      <c r="AI44" s="438">
        <f t="shared" si="31"/>
        <v>0</v>
      </c>
      <c r="AJ44" s="438">
        <f t="shared" si="31"/>
        <v>0</v>
      </c>
      <c r="AK44" s="438">
        <f t="shared" si="31"/>
        <v>0</v>
      </c>
      <c r="AL44" s="514">
        <f t="shared" si="31"/>
        <v>0</v>
      </c>
      <c r="AM44" s="468"/>
      <c r="AN44" s="467"/>
      <c r="AQ44" s="596" t="s">
        <v>150</v>
      </c>
      <c r="AR44" s="595"/>
      <c r="AS44" s="597">
        <v>0.35</v>
      </c>
    </row>
    <row r="45" spans="1:45" ht="16.2" thickBot="1">
      <c r="A45" s="530"/>
      <c r="B45" s="530"/>
      <c r="C45" s="590"/>
      <c r="E45" s="467"/>
      <c r="F45" s="468"/>
      <c r="G45" s="558" t="s">
        <v>34</v>
      </c>
      <c r="H45" s="419"/>
      <c r="I45" s="435">
        <f>SUM(I43:I44)</f>
        <v>495000000</v>
      </c>
      <c r="J45" s="435">
        <f t="shared" ref="J45:R45" si="32">SUM(J43:J44)</f>
        <v>396000000</v>
      </c>
      <c r="K45" s="435">
        <f t="shared" si="32"/>
        <v>316800000</v>
      </c>
      <c r="L45" s="435">
        <f t="shared" si="32"/>
        <v>253440000</v>
      </c>
      <c r="M45" s="435">
        <f t="shared" si="32"/>
        <v>202730000</v>
      </c>
      <c r="N45" s="435">
        <f>SUM(N43:N44)</f>
        <v>162195000</v>
      </c>
      <c r="O45" s="435">
        <f t="shared" si="32"/>
        <v>126170000</v>
      </c>
      <c r="P45" s="435">
        <f t="shared" si="32"/>
        <v>90145000</v>
      </c>
      <c r="Q45" s="435">
        <f t="shared" si="32"/>
        <v>54065000</v>
      </c>
      <c r="R45" s="437">
        <f t="shared" si="32"/>
        <v>18040000</v>
      </c>
      <c r="S45" s="437">
        <f>SUM(S43:S44)</f>
        <v>0</v>
      </c>
      <c r="T45" s="437">
        <f t="shared" ref="T45:AB45" si="33">SUM(T43:T44)</f>
        <v>0</v>
      </c>
      <c r="U45" s="437">
        <f t="shared" si="33"/>
        <v>0</v>
      </c>
      <c r="V45" s="437">
        <f t="shared" si="33"/>
        <v>0</v>
      </c>
      <c r="W45" s="437">
        <f t="shared" si="33"/>
        <v>0</v>
      </c>
      <c r="X45" s="437">
        <f t="shared" si="33"/>
        <v>0</v>
      </c>
      <c r="Y45" s="437">
        <f t="shared" si="33"/>
        <v>0</v>
      </c>
      <c r="Z45" s="435">
        <f t="shared" si="33"/>
        <v>0</v>
      </c>
      <c r="AA45" s="435">
        <f t="shared" si="33"/>
        <v>0</v>
      </c>
      <c r="AB45" s="435">
        <f t="shared" si="33"/>
        <v>0</v>
      </c>
      <c r="AC45" s="435">
        <f t="shared" ref="AC45:AL45" si="34">SUM(AC43:AC44)</f>
        <v>0</v>
      </c>
      <c r="AD45" s="435">
        <f t="shared" si="34"/>
        <v>0</v>
      </c>
      <c r="AE45" s="435">
        <f t="shared" si="34"/>
        <v>0</v>
      </c>
      <c r="AF45" s="435">
        <f t="shared" si="34"/>
        <v>0</v>
      </c>
      <c r="AG45" s="437">
        <f t="shared" si="34"/>
        <v>0</v>
      </c>
      <c r="AH45" s="437">
        <f t="shared" si="34"/>
        <v>0</v>
      </c>
      <c r="AI45" s="437">
        <f t="shared" si="34"/>
        <v>0</v>
      </c>
      <c r="AJ45" s="437">
        <f t="shared" si="34"/>
        <v>0</v>
      </c>
      <c r="AK45" s="437">
        <f t="shared" si="34"/>
        <v>0</v>
      </c>
      <c r="AL45" s="513">
        <f t="shared" si="34"/>
        <v>0</v>
      </c>
      <c r="AM45" s="468"/>
      <c r="AN45" s="467"/>
      <c r="AQ45" s="596" t="s">
        <v>151</v>
      </c>
      <c r="AR45" s="595"/>
      <c r="AS45" s="597">
        <v>7.0999999999999994E-2</v>
      </c>
    </row>
    <row r="46" spans="1:45" ht="16.8" thickTop="1" thickBot="1">
      <c r="A46" s="521"/>
      <c r="B46" s="521"/>
      <c r="C46" s="521"/>
      <c r="E46" s="467"/>
      <c r="F46" s="468"/>
      <c r="G46" s="448"/>
      <c r="H46" s="449"/>
      <c r="I46" s="546"/>
      <c r="J46" s="449"/>
      <c r="K46" s="449"/>
      <c r="L46" s="449"/>
      <c r="M46" s="449"/>
      <c r="N46" s="449"/>
      <c r="O46" s="449"/>
      <c r="P46" s="449"/>
      <c r="Q46" s="449"/>
      <c r="R46" s="449"/>
      <c r="S46" s="479"/>
      <c r="T46" s="481"/>
      <c r="U46" s="481"/>
      <c r="V46" s="481"/>
      <c r="W46" s="481"/>
      <c r="X46" s="481"/>
      <c r="Y46" s="481"/>
      <c r="Z46" s="481"/>
      <c r="AA46" s="481"/>
      <c r="AB46" s="481"/>
      <c r="AC46" s="481"/>
      <c r="AD46" s="481"/>
      <c r="AE46" s="481"/>
      <c r="AF46" s="481"/>
      <c r="AG46" s="481"/>
      <c r="AH46" s="481"/>
      <c r="AI46" s="481"/>
      <c r="AJ46" s="481"/>
      <c r="AK46" s="481"/>
      <c r="AL46" s="459"/>
      <c r="AM46" s="468"/>
      <c r="AN46" s="467"/>
      <c r="AQ46" s="596" t="s">
        <v>152</v>
      </c>
      <c r="AR46" s="595"/>
      <c r="AS46" s="598">
        <v>8.8499999999999995E-2</v>
      </c>
    </row>
    <row r="47" spans="1:45" ht="18.600000000000001" thickBot="1">
      <c r="A47" s="578" t="s">
        <v>42</v>
      </c>
      <c r="B47" s="579"/>
      <c r="C47" s="580"/>
      <c r="E47" s="467"/>
      <c r="F47" s="468"/>
      <c r="G47" s="487" t="s">
        <v>31</v>
      </c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3"/>
      <c r="AM47" s="468"/>
      <c r="AN47" s="467"/>
      <c r="AQ47" s="596" t="s">
        <v>14</v>
      </c>
      <c r="AR47" s="595"/>
      <c r="AS47" s="597">
        <f>AS44+(1-AS44)*(AS45+AS46)</f>
        <v>0.45367499999999994</v>
      </c>
    </row>
    <row r="48" spans="1:45" ht="18">
      <c r="A48" s="581" t="s">
        <v>37</v>
      </c>
      <c r="B48" s="582"/>
      <c r="C48" s="587">
        <f ca="1">SUM(I38:OFFSET($H$38,0,$C$32))-($C$6*C26)</f>
        <v>-245607293.93154702</v>
      </c>
      <c r="E48" s="467"/>
      <c r="F48" s="468"/>
      <c r="G48" s="554" t="s">
        <v>30</v>
      </c>
      <c r="H48" s="555"/>
      <c r="I48" s="451">
        <f>IF(I6&gt;C32,0,C25*C6)</f>
        <v>275000000</v>
      </c>
      <c r="J48" s="452">
        <f t="shared" ref="J48:AL48" si="35">IF(J6&gt;$C$32,0,I51)</f>
        <v>269525768.51469243</v>
      </c>
      <c r="K48" s="452">
        <f t="shared" si="35"/>
        <v>263757570.7986238</v>
      </c>
      <c r="L48" s="452">
        <f t="shared" si="35"/>
        <v>257679620.86520231</v>
      </c>
      <c r="M48" s="452">
        <f t="shared" si="35"/>
        <v>251275285.02035609</v>
      </c>
      <c r="N48" s="452">
        <f t="shared" si="35"/>
        <v>244527036.34064162</v>
      </c>
      <c r="O48" s="452">
        <f t="shared" si="35"/>
        <v>237416406.70682648</v>
      </c>
      <c r="P48" s="452">
        <f t="shared" si="35"/>
        <v>229923936.26167548</v>
      </c>
      <c r="Q48" s="452">
        <f t="shared" si="35"/>
        <v>222029120.15361986</v>
      </c>
      <c r="R48" s="452">
        <f t="shared" si="35"/>
        <v>213710352.42056164</v>
      </c>
      <c r="S48" s="452">
        <f t="shared" si="35"/>
        <v>204944866.86023819</v>
      </c>
      <c r="T48" s="452">
        <f t="shared" si="35"/>
        <v>195708674.72532541</v>
      </c>
      <c r="U48" s="452">
        <f t="shared" si="35"/>
        <v>185976499.07276779</v>
      </c>
      <c r="V48" s="452">
        <f t="shared" si="35"/>
        <v>175721705.58766782</v>
      </c>
      <c r="W48" s="452">
        <f t="shared" si="35"/>
        <v>164916229.69241798</v>
      </c>
      <c r="X48" s="452">
        <f t="shared" si="35"/>
        <v>153530499.74159324</v>
      </c>
      <c r="Y48" s="452">
        <f t="shared" si="35"/>
        <v>141533356.09240919</v>
      </c>
      <c r="Z48" s="452">
        <f t="shared" si="35"/>
        <v>128891965.82926397</v>
      </c>
      <c r="AA48" s="452">
        <f t="shared" si="35"/>
        <v>115571732.90898785</v>
      </c>
      <c r="AB48" s="452">
        <f t="shared" si="35"/>
        <v>101536203.4808929</v>
      </c>
      <c r="AC48" s="452">
        <f t="shared" si="35"/>
        <v>86746966.122509256</v>
      </c>
      <c r="AD48" s="452">
        <f t="shared" si="35"/>
        <v>71163546.717980415</v>
      </c>
      <c r="AE48" s="452">
        <f t="shared" si="35"/>
        <v>54743297.691428371</v>
      </c>
      <c r="AF48" s="452">
        <f t="shared" si="35"/>
        <v>37441281.292150483</v>
      </c>
      <c r="AG48" s="452">
        <f t="shared" si="35"/>
        <v>19210146.61223137</v>
      </c>
      <c r="AH48" s="452">
        <f t="shared" si="35"/>
        <v>0</v>
      </c>
      <c r="AI48" s="452">
        <f t="shared" si="35"/>
        <v>0</v>
      </c>
      <c r="AJ48" s="452">
        <f t="shared" si="35"/>
        <v>0</v>
      </c>
      <c r="AK48" s="452">
        <f t="shared" si="35"/>
        <v>0</v>
      </c>
      <c r="AL48" s="512">
        <f t="shared" si="35"/>
        <v>0</v>
      </c>
      <c r="AM48" s="468"/>
      <c r="AN48" s="467"/>
      <c r="AS48" s="597">
        <f>(1-AS44)*(AS45+AS46)</f>
        <v>0.10367499999999999</v>
      </c>
    </row>
    <row r="49" spans="1:40" ht="18.600000000000001" thickBot="1">
      <c r="A49" s="583" t="s">
        <v>105</v>
      </c>
      <c r="B49" s="576"/>
      <c r="C49" s="584"/>
      <c r="E49" s="467"/>
      <c r="F49" s="468"/>
      <c r="G49" s="550" t="s">
        <v>32</v>
      </c>
      <c r="H49" s="529"/>
      <c r="I49" s="534">
        <f t="shared" ref="I49:AL49" si="36">IF(I6&gt;$C$32,0,-I48*$C$27)</f>
        <v>-14767500</v>
      </c>
      <c r="J49" s="534">
        <f t="shared" si="36"/>
        <v>-14473533.769238982</v>
      </c>
      <c r="K49" s="534">
        <f t="shared" si="36"/>
        <v>-14163781.551886097</v>
      </c>
      <c r="L49" s="534">
        <f t="shared" si="36"/>
        <v>-13837395.640461363</v>
      </c>
      <c r="M49" s="534">
        <f t="shared" si="36"/>
        <v>-13493482.805593122</v>
      </c>
      <c r="N49" s="534">
        <f t="shared" si="36"/>
        <v>-13131101.851492455</v>
      </c>
      <c r="O49" s="534">
        <f t="shared" si="36"/>
        <v>-12749261.040156581</v>
      </c>
      <c r="P49" s="534">
        <f t="shared" si="36"/>
        <v>-12346915.377251973</v>
      </c>
      <c r="Q49" s="534">
        <f t="shared" si="36"/>
        <v>-11922963.752249386</v>
      </c>
      <c r="R49" s="534">
        <f t="shared" si="36"/>
        <v>-11476245.924984159</v>
      </c>
      <c r="S49" s="534">
        <f t="shared" si="36"/>
        <v>-11005539.350394791</v>
      </c>
      <c r="T49" s="534">
        <f t="shared" si="36"/>
        <v>-10509555.832749974</v>
      </c>
      <c r="U49" s="534">
        <f t="shared" si="36"/>
        <v>-9986938.0002076309</v>
      </c>
      <c r="V49" s="534">
        <f t="shared" si="36"/>
        <v>-9436255.5900577623</v>
      </c>
      <c r="W49" s="534">
        <f t="shared" si="36"/>
        <v>-8856001.534482846</v>
      </c>
      <c r="X49" s="534">
        <f t="shared" si="36"/>
        <v>-8244587.8361235568</v>
      </c>
      <c r="Y49" s="534">
        <f t="shared" si="36"/>
        <v>-7600341.2221623734</v>
      </c>
      <c r="Z49" s="534">
        <f t="shared" si="36"/>
        <v>-6921498.5650314745</v>
      </c>
      <c r="AA49" s="534">
        <f t="shared" si="36"/>
        <v>-6206202.0572126471</v>
      </c>
      <c r="AB49" s="534">
        <f t="shared" si="36"/>
        <v>-5452494.1269239485</v>
      </c>
      <c r="AC49" s="534">
        <f t="shared" si="36"/>
        <v>-4658312.0807787469</v>
      </c>
      <c r="AD49" s="534">
        <f t="shared" si="36"/>
        <v>-3821482.4587555481</v>
      </c>
      <c r="AE49" s="534">
        <f t="shared" si="36"/>
        <v>-2939715.0860297033</v>
      </c>
      <c r="AF49" s="534">
        <f t="shared" si="36"/>
        <v>-2010596.8053884809</v>
      </c>
      <c r="AG49" s="534">
        <f t="shared" si="36"/>
        <v>-1031584.8730768245</v>
      </c>
      <c r="AH49" s="534">
        <f t="shared" si="36"/>
        <v>0</v>
      </c>
      <c r="AI49" s="534">
        <f t="shared" si="36"/>
        <v>0</v>
      </c>
      <c r="AJ49" s="534">
        <f t="shared" si="36"/>
        <v>0</v>
      </c>
      <c r="AK49" s="534">
        <f t="shared" si="36"/>
        <v>0</v>
      </c>
      <c r="AL49" s="465">
        <f t="shared" si="36"/>
        <v>0</v>
      </c>
      <c r="AM49" s="468"/>
      <c r="AN49" s="467"/>
    </row>
    <row r="50" spans="1:40" ht="18.600000000000001" thickBot="1">
      <c r="A50" s="585" t="s">
        <v>104</v>
      </c>
      <c r="B50" s="586"/>
      <c r="C50" s="588">
        <f ca="1">SUM(I39:OFFSET($H$39,0,$C$32))-($C$6*C26)</f>
        <v>-117852166.29453263</v>
      </c>
      <c r="E50" s="467"/>
      <c r="F50" s="468"/>
      <c r="G50" s="550" t="s">
        <v>33</v>
      </c>
      <c r="H50" s="529"/>
      <c r="I50" s="534">
        <f t="shared" ref="I50:AL50" si="37">IF(I6&gt;$C$32,0,$C$44-I49)</f>
        <v>-5474231.4853075929</v>
      </c>
      <c r="J50" s="534">
        <f t="shared" si="37"/>
        <v>-5768197.7160686105</v>
      </c>
      <c r="K50" s="534">
        <f t="shared" si="37"/>
        <v>-6077949.9334214963</v>
      </c>
      <c r="L50" s="534">
        <f t="shared" si="37"/>
        <v>-6404335.84484623</v>
      </c>
      <c r="M50" s="534">
        <f t="shared" si="37"/>
        <v>-6748248.6797144711</v>
      </c>
      <c r="N50" s="534">
        <f t="shared" si="37"/>
        <v>-7110629.6338151377</v>
      </c>
      <c r="O50" s="534">
        <f t="shared" si="37"/>
        <v>-7492470.4451510124</v>
      </c>
      <c r="P50" s="534">
        <f t="shared" si="37"/>
        <v>-7894816.1080556195</v>
      </c>
      <c r="Q50" s="534">
        <f t="shared" si="37"/>
        <v>-8318767.7330582067</v>
      </c>
      <c r="R50" s="534">
        <f t="shared" si="37"/>
        <v>-8765485.560323434</v>
      </c>
      <c r="S50" s="534">
        <f t="shared" si="37"/>
        <v>-9236192.1349128019</v>
      </c>
      <c r="T50" s="534">
        <f t="shared" si="37"/>
        <v>-9732175.6525576189</v>
      </c>
      <c r="U50" s="534">
        <f t="shared" si="37"/>
        <v>-10254793.485099962</v>
      </c>
      <c r="V50" s="534">
        <f t="shared" si="37"/>
        <v>-10805475.895249831</v>
      </c>
      <c r="W50" s="534">
        <f t="shared" si="37"/>
        <v>-11385729.950824747</v>
      </c>
      <c r="X50" s="534">
        <f t="shared" si="37"/>
        <v>-11997143.649184037</v>
      </c>
      <c r="Y50" s="534">
        <f t="shared" si="37"/>
        <v>-12641390.26314522</v>
      </c>
      <c r="Z50" s="534">
        <f t="shared" si="37"/>
        <v>-13320232.920276118</v>
      </c>
      <c r="AA50" s="534">
        <f t="shared" si="37"/>
        <v>-14035529.428094946</v>
      </c>
      <c r="AB50" s="534">
        <f t="shared" si="37"/>
        <v>-14789237.358383644</v>
      </c>
      <c r="AC50" s="534">
        <f t="shared" si="37"/>
        <v>-15583419.404528845</v>
      </c>
      <c r="AD50" s="534">
        <f t="shared" si="37"/>
        <v>-16420249.026552044</v>
      </c>
      <c r="AE50" s="534">
        <f t="shared" si="37"/>
        <v>-17302016.399277888</v>
      </c>
      <c r="AF50" s="534">
        <f t="shared" si="37"/>
        <v>-18231134.679919112</v>
      </c>
      <c r="AG50" s="534">
        <f t="shared" si="37"/>
        <v>-19210146.61223077</v>
      </c>
      <c r="AH50" s="534">
        <f t="shared" si="37"/>
        <v>0</v>
      </c>
      <c r="AI50" s="534">
        <f t="shared" si="37"/>
        <v>0</v>
      </c>
      <c r="AJ50" s="534">
        <f t="shared" si="37"/>
        <v>0</v>
      </c>
      <c r="AK50" s="534">
        <f t="shared" si="37"/>
        <v>0</v>
      </c>
      <c r="AL50" s="465">
        <f t="shared" si="37"/>
        <v>0</v>
      </c>
      <c r="AM50" s="468"/>
      <c r="AN50" s="467"/>
    </row>
    <row r="51" spans="1:40" ht="16.2" thickBot="1">
      <c r="E51" s="467"/>
      <c r="F51" s="468"/>
      <c r="G51" s="556" t="s">
        <v>34</v>
      </c>
      <c r="H51" s="524"/>
      <c r="I51" s="435">
        <f>I48+I50</f>
        <v>269525768.51469243</v>
      </c>
      <c r="J51" s="436">
        <f>J48+J50</f>
        <v>263757570.7986238</v>
      </c>
      <c r="K51" s="436">
        <f t="shared" ref="K51:R51" si="38">K48+K50</f>
        <v>257679620.86520231</v>
      </c>
      <c r="L51" s="436">
        <f t="shared" si="38"/>
        <v>251275285.02035609</v>
      </c>
      <c r="M51" s="436">
        <f t="shared" si="38"/>
        <v>244527036.34064162</v>
      </c>
      <c r="N51" s="436">
        <f t="shared" si="38"/>
        <v>237416406.70682648</v>
      </c>
      <c r="O51" s="436">
        <f t="shared" si="38"/>
        <v>229923936.26167548</v>
      </c>
      <c r="P51" s="436">
        <f t="shared" si="38"/>
        <v>222029120.15361986</v>
      </c>
      <c r="Q51" s="436">
        <f t="shared" si="38"/>
        <v>213710352.42056164</v>
      </c>
      <c r="R51" s="436">
        <f t="shared" si="38"/>
        <v>204944866.86023819</v>
      </c>
      <c r="S51" s="436">
        <f t="shared" ref="S51:Y51" si="39">S48+S50</f>
        <v>195708674.72532541</v>
      </c>
      <c r="T51" s="436">
        <f t="shared" si="39"/>
        <v>185976499.07276779</v>
      </c>
      <c r="U51" s="436">
        <f t="shared" si="39"/>
        <v>175721705.58766782</v>
      </c>
      <c r="V51" s="436">
        <f t="shared" si="39"/>
        <v>164916229.69241798</v>
      </c>
      <c r="W51" s="436">
        <f t="shared" si="39"/>
        <v>153530499.74159324</v>
      </c>
      <c r="X51" s="436">
        <f t="shared" si="39"/>
        <v>141533356.09240919</v>
      </c>
      <c r="Y51" s="436">
        <f t="shared" si="39"/>
        <v>128891965.82926397</v>
      </c>
      <c r="Z51" s="436">
        <f t="shared" ref="Z51:AG51" si="40">Z48+Z50</f>
        <v>115571732.90898785</v>
      </c>
      <c r="AA51" s="436">
        <f t="shared" si="40"/>
        <v>101536203.4808929</v>
      </c>
      <c r="AB51" s="436">
        <f t="shared" si="40"/>
        <v>86746966.122509256</v>
      </c>
      <c r="AC51" s="436">
        <f t="shared" si="40"/>
        <v>71163546.717980415</v>
      </c>
      <c r="AD51" s="436">
        <f t="shared" si="40"/>
        <v>54743297.691428371</v>
      </c>
      <c r="AE51" s="436">
        <f t="shared" si="40"/>
        <v>37441281.292150483</v>
      </c>
      <c r="AF51" s="436">
        <f t="shared" si="40"/>
        <v>19210146.61223137</v>
      </c>
      <c r="AG51" s="436">
        <f t="shared" si="40"/>
        <v>5.9977173805236816E-7</v>
      </c>
      <c r="AH51" s="436">
        <f>AH48+AH50</f>
        <v>0</v>
      </c>
      <c r="AI51" s="436">
        <f>AI48+AI50</f>
        <v>0</v>
      </c>
      <c r="AJ51" s="436">
        <f>AJ48+AJ50</f>
        <v>0</v>
      </c>
      <c r="AK51" s="436">
        <f>AK48+AK50</f>
        <v>0</v>
      </c>
      <c r="AL51" s="511">
        <f>AL48+AL50</f>
        <v>0</v>
      </c>
      <c r="AM51" s="468"/>
      <c r="AN51" s="467"/>
    </row>
    <row r="52" spans="1:40" ht="9" customHeight="1" thickTop="1" thickBot="1">
      <c r="E52" s="467"/>
      <c r="F52" s="468"/>
      <c r="G52" s="448"/>
      <c r="H52" s="449"/>
      <c r="I52" s="546"/>
      <c r="J52" s="449"/>
      <c r="K52" s="449"/>
      <c r="L52" s="449"/>
      <c r="M52" s="449"/>
      <c r="N52" s="449"/>
      <c r="O52" s="449"/>
      <c r="P52" s="449"/>
      <c r="Q52" s="449"/>
      <c r="R52" s="449"/>
      <c r="S52" s="491"/>
      <c r="T52" s="449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49"/>
      <c r="AK52" s="449"/>
      <c r="AL52" s="450"/>
      <c r="AM52" s="468"/>
      <c r="AN52" s="467"/>
    </row>
    <row r="53" spans="1:40" ht="5.25" customHeight="1">
      <c r="E53" s="467"/>
      <c r="F53" s="468"/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8"/>
      <c r="AF53" s="468"/>
      <c r="AG53" s="468"/>
      <c r="AH53" s="468"/>
      <c r="AI53" s="468"/>
      <c r="AJ53" s="468"/>
      <c r="AK53" s="468"/>
      <c r="AL53" s="468"/>
      <c r="AM53" s="468"/>
      <c r="AN53" s="467"/>
    </row>
    <row r="54" spans="1:40" ht="15.6">
      <c r="B54" s="486" t="s">
        <v>77</v>
      </c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467"/>
      <c r="AM54" s="467"/>
      <c r="AN54" s="467"/>
    </row>
    <row r="56" spans="1:40">
      <c r="A56" s="600" t="s">
        <v>153</v>
      </c>
      <c r="B56" s="599"/>
      <c r="C56" s="601">
        <f ca="1">C50/C7/1000</f>
        <v>-1178.5216629453262</v>
      </c>
    </row>
  </sheetData>
  <mergeCells count="1">
    <mergeCell ref="A2:C2"/>
  </mergeCells>
  <conditionalFormatting sqref="A55:A56 A47:A53 G42:AL46 G48:AL52 C21 D5:D56 A2:A3 D2:D3 B3:C3 G6:AL8 C17:C19 A46:C46 E55:AN56 B16:B21 B22:C45 B47:C56 A45 B5:C15 G10:AL40 AO1:IV1048576 A56:C56">
    <cfRule type="cellIs" dxfId="18" priority="2" operator="lessThan">
      <formula>0</formula>
    </cfRule>
  </conditionalFormatting>
  <dataValidations count="7">
    <dataValidation type="list" allowBlank="1" showInputMessage="1" showErrorMessage="1" sqref="D24">
      <formula1>"1, 2, 3, 4, 5"</formula1>
    </dataValidation>
    <dataValidation type="list" allowBlank="1" showInputMessage="1" showErrorMessage="1" sqref="C22">
      <formula1>"-10, -9, -8, -7, -6, -5, -4, -3, -2, -1, 0, 1, 2, 3, 4, 5, 6, 7, 8, 9, 10"</formula1>
    </dataValidation>
    <dataValidation type="list" allowBlank="1" showInputMessage="1" showErrorMessage="1" sqref="C32">
      <formula1>"1, 2, 3, 4, 5, 6, 7, 8, 9, 10, 11, 12, 13, 14, 15,16,17,18,19,20,21,22,23,24,25,26,27,28,29,30"</formula1>
    </dataValidation>
    <dataValidation type="list" allowBlank="1" showInputMessage="1" showErrorMessage="1" sqref="C33">
      <formula1>$AP$5:$AR$5</formula1>
    </dataValidation>
    <dataValidation type="list" allowBlank="1" showInputMessage="1" showErrorMessage="1" sqref="C34">
      <formula1>INDIRECT($C$33)</formula1>
    </dataValidation>
    <dataValidation type="list" allowBlank="1" showInputMessage="1" showErrorMessage="1" sqref="C45 C23">
      <formula1>"YES, NO"</formula1>
    </dataValidation>
    <dataValidation type="list" allowBlank="1" showInputMessage="1" showErrorMessage="1" sqref="C13">
      <formula1>"0,15,25"</formula1>
    </dataValidation>
  </dataValidations>
  <pageMargins left="0.7" right="0.7" top="0.75" bottom="0.75" header="0.3" footer="0.3"/>
  <pageSetup orientation="portrait" r:id="rId1"/>
  <headerFooter>
    <oddFooter>&amp;RPrepared by Julia Popova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S56"/>
  <sheetViews>
    <sheetView zoomScale="70" zoomScaleNormal="70" workbookViewId="0">
      <pane xSplit="7" ySplit="5" topLeftCell="H6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4.4"/>
  <cols>
    <col min="1" max="1" width="38.44140625" style="138" customWidth="1"/>
    <col min="2" max="2" width="12.44140625" style="138" bestFit="1" customWidth="1"/>
    <col min="3" max="3" width="20" style="138" bestFit="1" customWidth="1"/>
    <col min="4" max="4" width="2.6640625" style="158" customWidth="1"/>
    <col min="5" max="5" width="3" style="138" customWidth="1"/>
    <col min="6" max="6" width="1.5546875" style="138" customWidth="1"/>
    <col min="7" max="7" width="51" style="138" bestFit="1" customWidth="1"/>
    <col min="8" max="8" width="11.109375" style="138" bestFit="1" customWidth="1"/>
    <col min="9" max="10" width="17.6640625" style="138" bestFit="1" customWidth="1"/>
    <col min="11" max="11" width="16.88671875" style="138" bestFit="1" customWidth="1"/>
    <col min="12" max="12" width="17.6640625" style="138" bestFit="1" customWidth="1"/>
    <col min="13" max="13" width="17.33203125" style="138" bestFit="1" customWidth="1"/>
    <col min="14" max="16" width="16" style="138" bestFit="1" customWidth="1"/>
    <col min="17" max="17" width="16.6640625" style="138" bestFit="1" customWidth="1"/>
    <col min="18" max="18" width="16.88671875" style="138" bestFit="1" customWidth="1"/>
    <col min="19" max="19" width="17.33203125" style="138" bestFit="1" customWidth="1"/>
    <col min="20" max="20" width="16.44140625" style="138" bestFit="1" customWidth="1"/>
    <col min="21" max="21" width="17.6640625" style="138" bestFit="1" customWidth="1"/>
    <col min="22" max="22" width="16" style="138" bestFit="1" customWidth="1"/>
    <col min="23" max="23" width="16.6640625" style="138" bestFit="1" customWidth="1"/>
    <col min="24" max="24" width="16" style="138" bestFit="1" customWidth="1"/>
    <col min="25" max="28" width="16.6640625" style="138" bestFit="1" customWidth="1"/>
    <col min="29" max="35" width="8.88671875" style="138" bestFit="1" customWidth="1"/>
    <col min="36" max="36" width="8.88671875" style="138" customWidth="1"/>
    <col min="37" max="38" width="8.88671875" style="138" bestFit="1" customWidth="1"/>
    <col min="39" max="40" width="1.44140625" style="138" customWidth="1"/>
    <col min="41" max="41" width="9.109375" style="138"/>
    <col min="42" max="42" width="8.6640625" style="138" bestFit="1" customWidth="1"/>
    <col min="43" max="43" width="14.88671875" style="138" bestFit="1" customWidth="1"/>
    <col min="44" max="16384" width="9.109375" style="138"/>
  </cols>
  <sheetData>
    <row r="1" spans="1:44" ht="23.4">
      <c r="A1" s="574" t="s">
        <v>164</v>
      </c>
    </row>
    <row r="2" spans="1:44" ht="21">
      <c r="A2" s="602" t="s">
        <v>154</v>
      </c>
      <c r="B2" s="603"/>
      <c r="C2" s="603"/>
    </row>
    <row r="3" spans="1:44" ht="15.6">
      <c r="A3" s="223"/>
      <c r="B3" s="223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</row>
    <row r="4" spans="1:44" ht="5.25" customHeight="1">
      <c r="E4" s="50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0"/>
    </row>
    <row r="5" spans="1:44" ht="16.2" thickBot="1">
      <c r="A5" s="52" t="s">
        <v>0</v>
      </c>
      <c r="B5" s="139"/>
      <c r="E5" s="50"/>
      <c r="F5" s="51"/>
      <c r="G5" s="54" t="s">
        <v>64</v>
      </c>
      <c r="H5" s="55">
        <v>42491</v>
      </c>
      <c r="I5" s="56">
        <v>42856</v>
      </c>
      <c r="J5" s="56">
        <v>43221</v>
      </c>
      <c r="K5" s="56">
        <v>43586</v>
      </c>
      <c r="L5" s="56">
        <v>43952</v>
      </c>
      <c r="M5" s="56">
        <v>44317</v>
      </c>
      <c r="N5" s="56">
        <v>44682</v>
      </c>
      <c r="O5" s="56">
        <v>45047</v>
      </c>
      <c r="P5" s="56">
        <v>45413</v>
      </c>
      <c r="Q5" s="56">
        <v>45778</v>
      </c>
      <c r="R5" s="56">
        <v>46143</v>
      </c>
      <c r="S5" s="56">
        <v>46508</v>
      </c>
      <c r="T5" s="56">
        <v>46874</v>
      </c>
      <c r="U5" s="56">
        <v>47239</v>
      </c>
      <c r="V5" s="56">
        <v>47604</v>
      </c>
      <c r="W5" s="56">
        <v>47969</v>
      </c>
      <c r="X5" s="56">
        <v>48335</v>
      </c>
      <c r="Y5" s="56">
        <v>48700</v>
      </c>
      <c r="Z5" s="56">
        <v>49065</v>
      </c>
      <c r="AA5" s="56">
        <v>49430</v>
      </c>
      <c r="AB5" s="56">
        <v>49796</v>
      </c>
      <c r="AC5" s="56">
        <v>50161</v>
      </c>
      <c r="AD5" s="56">
        <v>50526</v>
      </c>
      <c r="AE5" s="56">
        <v>50891</v>
      </c>
      <c r="AF5" s="56">
        <v>51257</v>
      </c>
      <c r="AG5" s="56">
        <v>51622</v>
      </c>
      <c r="AH5" s="56">
        <v>51987</v>
      </c>
      <c r="AI5" s="56">
        <v>52352</v>
      </c>
      <c r="AJ5" s="56">
        <v>52718</v>
      </c>
      <c r="AK5" s="56">
        <v>53083</v>
      </c>
      <c r="AL5" s="56">
        <v>53448</v>
      </c>
      <c r="AM5" s="51"/>
      <c r="AN5" s="50"/>
      <c r="AP5" s="170" t="s">
        <v>45</v>
      </c>
      <c r="AQ5" s="170" t="s">
        <v>46</v>
      </c>
      <c r="AR5" s="170" t="s">
        <v>94</v>
      </c>
    </row>
    <row r="6" spans="1:44" ht="15.6">
      <c r="A6" s="57" t="s">
        <v>71</v>
      </c>
      <c r="B6" s="60" t="s">
        <v>74</v>
      </c>
      <c r="C6" s="230">
        <f>1800*1.5*C7*1000</f>
        <v>270000000</v>
      </c>
      <c r="D6" s="164"/>
      <c r="E6" s="50"/>
      <c r="F6" s="51"/>
      <c r="G6" s="218" t="s">
        <v>16</v>
      </c>
      <c r="H6" s="219"/>
      <c r="I6" s="220">
        <v>1</v>
      </c>
      <c r="J6" s="220">
        <v>2</v>
      </c>
      <c r="K6" s="220">
        <v>3</v>
      </c>
      <c r="L6" s="220">
        <v>4</v>
      </c>
      <c r="M6" s="220">
        <v>5</v>
      </c>
      <c r="N6" s="220">
        <v>6</v>
      </c>
      <c r="O6" s="220">
        <v>7</v>
      </c>
      <c r="P6" s="220">
        <v>8</v>
      </c>
      <c r="Q6" s="220">
        <v>9</v>
      </c>
      <c r="R6" s="220">
        <v>10</v>
      </c>
      <c r="S6" s="220">
        <v>11</v>
      </c>
      <c r="T6" s="220">
        <v>12</v>
      </c>
      <c r="U6" s="220">
        <v>13</v>
      </c>
      <c r="V6" s="220">
        <v>14</v>
      </c>
      <c r="W6" s="220">
        <v>15</v>
      </c>
      <c r="X6" s="220">
        <v>16</v>
      </c>
      <c r="Y6" s="220">
        <v>17</v>
      </c>
      <c r="Z6" s="220">
        <v>18</v>
      </c>
      <c r="AA6" s="220">
        <v>19</v>
      </c>
      <c r="AB6" s="220">
        <v>20</v>
      </c>
      <c r="AC6" s="220">
        <v>21</v>
      </c>
      <c r="AD6" s="220">
        <v>22</v>
      </c>
      <c r="AE6" s="220">
        <v>23</v>
      </c>
      <c r="AF6" s="220">
        <v>24</v>
      </c>
      <c r="AG6" s="220">
        <v>25</v>
      </c>
      <c r="AH6" s="220">
        <v>26</v>
      </c>
      <c r="AI6" s="220">
        <v>27</v>
      </c>
      <c r="AJ6" s="220">
        <v>28</v>
      </c>
      <c r="AK6" s="220">
        <v>29</v>
      </c>
      <c r="AL6" s="221">
        <v>30</v>
      </c>
      <c r="AM6" s="51"/>
      <c r="AN6" s="50"/>
      <c r="AP6" s="170">
        <v>3</v>
      </c>
      <c r="AQ6" s="170">
        <v>1</v>
      </c>
      <c r="AR6" s="170">
        <v>5</v>
      </c>
    </row>
    <row r="7" spans="1:44" ht="15.6">
      <c r="A7" s="53" t="s">
        <v>63</v>
      </c>
      <c r="B7" s="60" t="s">
        <v>68</v>
      </c>
      <c r="C7" s="224">
        <v>100</v>
      </c>
      <c r="E7" s="50"/>
      <c r="F7" s="51"/>
      <c r="G7" s="197" t="s">
        <v>17</v>
      </c>
      <c r="H7" s="151"/>
      <c r="I7" s="187">
        <f>(1+$C$29)^(I6-1)</f>
        <v>1</v>
      </c>
      <c r="J7" s="187">
        <f t="shared" ref="J7:AL7" si="0">(1+$C$29)^(J6-1)</f>
        <v>1.0229999999999999</v>
      </c>
      <c r="K7" s="187">
        <f t="shared" si="0"/>
        <v>1.0465289999999998</v>
      </c>
      <c r="L7" s="187">
        <f t="shared" si="0"/>
        <v>1.0705991669999997</v>
      </c>
      <c r="M7" s="187">
        <f t="shared" si="0"/>
        <v>1.0952229478409996</v>
      </c>
      <c r="N7" s="187">
        <f t="shared" si="0"/>
        <v>1.1204130756413424</v>
      </c>
      <c r="O7" s="187">
        <f t="shared" si="0"/>
        <v>1.1461825763810933</v>
      </c>
      <c r="P7" s="187">
        <f t="shared" si="0"/>
        <v>1.1725447756378582</v>
      </c>
      <c r="Q7" s="187">
        <f t="shared" si="0"/>
        <v>1.1995133054775289</v>
      </c>
      <c r="R7" s="187">
        <f t="shared" si="0"/>
        <v>1.2271021115035119</v>
      </c>
      <c r="S7" s="187">
        <f t="shared" si="0"/>
        <v>1.2553254600680925</v>
      </c>
      <c r="T7" s="187">
        <f t="shared" si="0"/>
        <v>1.2841979456496586</v>
      </c>
      <c r="U7" s="187">
        <f t="shared" si="0"/>
        <v>1.3137344983996007</v>
      </c>
      <c r="V7" s="187">
        <f t="shared" si="0"/>
        <v>1.3439503918627913</v>
      </c>
      <c r="W7" s="187">
        <f t="shared" si="0"/>
        <v>1.3748612508756355</v>
      </c>
      <c r="X7" s="187">
        <f t="shared" si="0"/>
        <v>1.4064830596457747</v>
      </c>
      <c r="Y7" s="187">
        <f t="shared" si="0"/>
        <v>1.4388321700176274</v>
      </c>
      <c r="Z7" s="187">
        <f t="shared" si="0"/>
        <v>1.4719253099280327</v>
      </c>
      <c r="AA7" s="187">
        <f t="shared" si="0"/>
        <v>1.5057795920563775</v>
      </c>
      <c r="AB7" s="187">
        <f t="shared" si="0"/>
        <v>1.5404125226736738</v>
      </c>
      <c r="AC7" s="187">
        <f t="shared" si="0"/>
        <v>1.5758420106951683</v>
      </c>
      <c r="AD7" s="187">
        <f t="shared" si="0"/>
        <v>1.6120863769411569</v>
      </c>
      <c r="AE7" s="187">
        <f t="shared" si="0"/>
        <v>1.6491643636108035</v>
      </c>
      <c r="AF7" s="187">
        <f t="shared" si="0"/>
        <v>1.6870951439738515</v>
      </c>
      <c r="AG7" s="187">
        <f t="shared" si="0"/>
        <v>1.7258983322852501</v>
      </c>
      <c r="AH7" s="187">
        <f t="shared" si="0"/>
        <v>1.7655939939278107</v>
      </c>
      <c r="AI7" s="187">
        <f t="shared" si="0"/>
        <v>1.8062026557881501</v>
      </c>
      <c r="AJ7" s="187">
        <f t="shared" si="0"/>
        <v>1.8477453168712774</v>
      </c>
      <c r="AK7" s="187">
        <f t="shared" si="0"/>
        <v>1.8902434591593167</v>
      </c>
      <c r="AL7" s="222">
        <f t="shared" si="0"/>
        <v>1.9337190587199808</v>
      </c>
      <c r="AM7" s="51"/>
      <c r="AN7" s="50"/>
      <c r="AP7" s="170">
        <v>5</v>
      </c>
      <c r="AQ7" s="170">
        <v>2</v>
      </c>
      <c r="AR7" s="170">
        <v>7</v>
      </c>
    </row>
    <row r="8" spans="1:44" ht="16.2" thickBot="1">
      <c r="A8" s="57" t="s">
        <v>66</v>
      </c>
      <c r="B8" s="60" t="s">
        <v>65</v>
      </c>
      <c r="C8" s="58">
        <v>0.2</v>
      </c>
      <c r="D8" s="155"/>
      <c r="E8" s="50"/>
      <c r="F8" s="51"/>
      <c r="G8" s="206"/>
      <c r="H8" s="207"/>
      <c r="I8" s="207"/>
      <c r="J8" s="207"/>
      <c r="K8" s="207"/>
      <c r="L8" s="207"/>
      <c r="M8" s="207"/>
      <c r="N8" s="207"/>
      <c r="O8" s="207"/>
      <c r="P8" s="207"/>
      <c r="Q8" s="207"/>
      <c r="R8" s="207"/>
      <c r="S8" s="207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235"/>
      <c r="AM8" s="51"/>
      <c r="AN8" s="50"/>
      <c r="AP8" s="170">
        <v>7</v>
      </c>
      <c r="AQ8" s="170">
        <v>3</v>
      </c>
    </row>
    <row r="9" spans="1:44" ht="16.2" thickBot="1">
      <c r="A9" s="57" t="s">
        <v>67</v>
      </c>
      <c r="B9" s="60" t="s">
        <v>65</v>
      </c>
      <c r="C9" s="58">
        <v>0.3</v>
      </c>
      <c r="D9" s="155"/>
      <c r="E9" s="50"/>
      <c r="F9" s="51"/>
      <c r="G9" s="68" t="s">
        <v>18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4"/>
      <c r="AM9" s="51"/>
      <c r="AN9" s="50"/>
      <c r="AP9" s="170">
        <v>10</v>
      </c>
      <c r="AQ9" s="170">
        <v>4</v>
      </c>
    </row>
    <row r="10" spans="1:44" ht="15.6">
      <c r="A10" s="76" t="s">
        <v>3</v>
      </c>
      <c r="B10" s="90"/>
      <c r="C10" s="64"/>
      <c r="D10" s="155"/>
      <c r="E10" s="50"/>
      <c r="F10" s="51"/>
      <c r="G10" s="194" t="s">
        <v>3</v>
      </c>
      <c r="H10" s="195"/>
      <c r="I10" s="17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235"/>
      <c r="AM10" s="51"/>
      <c r="AN10" s="50"/>
      <c r="AP10" s="170">
        <v>15</v>
      </c>
      <c r="AQ10" s="170">
        <v>5</v>
      </c>
    </row>
    <row r="11" spans="1:44" ht="15.6">
      <c r="A11" s="57" t="s">
        <v>69</v>
      </c>
      <c r="B11" s="91" t="s">
        <v>80</v>
      </c>
      <c r="C11" s="59">
        <v>50</v>
      </c>
      <c r="D11" s="155"/>
      <c r="E11" s="50"/>
      <c r="F11" s="51"/>
      <c r="G11" s="197" t="s">
        <v>19</v>
      </c>
      <c r="H11" s="151"/>
      <c r="I11" s="159">
        <f t="shared" ref="I11:AL11" si="1">IF(I6&gt;$C$32,0,($C$16+$C$7*$C$8*$AQ$39*IF($C$21&lt;&gt;0,MAX((($C$21+1-I6)/$C$21),0),0)*12*1000)*$C$7*$C$8*I7*(1+0.0025)^(I6-1))</f>
        <v>2519483.1999999997</v>
      </c>
      <c r="J11" s="159">
        <f t="shared" si="1"/>
        <v>2596861.8957071993</v>
      </c>
      <c r="K11" s="159">
        <f t="shared" si="1"/>
        <v>2676550.1127801472</v>
      </c>
      <c r="L11" s="159">
        <f t="shared" si="1"/>
        <v>2758615.359737711</v>
      </c>
      <c r="M11" s="159">
        <f t="shared" si="1"/>
        <v>2843127.0872501265</v>
      </c>
      <c r="N11" s="159">
        <f t="shared" si="1"/>
        <v>2930156.7433164553</v>
      </c>
      <c r="O11" s="159">
        <f t="shared" si="1"/>
        <v>3005044.2242837651</v>
      </c>
      <c r="P11" s="159">
        <f t="shared" si="1"/>
        <v>3081845.6420458965</v>
      </c>
      <c r="Q11" s="159">
        <f t="shared" si="1"/>
        <v>3160609.9120424842</v>
      </c>
      <c r="R11" s="159">
        <f t="shared" si="1"/>
        <v>3241387.1998695098</v>
      </c>
      <c r="S11" s="159">
        <f t="shared" si="1"/>
        <v>3324228.9532301743</v>
      </c>
      <c r="T11" s="159">
        <f t="shared" si="1"/>
        <v>3409187.9347023536</v>
      </c>
      <c r="U11" s="159">
        <f t="shared" si="1"/>
        <v>3496318.2553435089</v>
      </c>
      <c r="V11" s="159">
        <f t="shared" si="1"/>
        <v>3585675.4091544505</v>
      </c>
      <c r="W11" s="159">
        <f t="shared" si="1"/>
        <v>3677316.308423914</v>
      </c>
      <c r="X11" s="159">
        <f t="shared" si="1"/>
        <v>3771299.3199764574</v>
      </c>
      <c r="Y11" s="159">
        <f t="shared" si="1"/>
        <v>3867684.3023467558</v>
      </c>
      <c r="Z11" s="159">
        <f t="shared" si="1"/>
        <v>3966532.6439039819</v>
      </c>
      <c r="AA11" s="159">
        <f t="shared" si="1"/>
        <v>4067907.3019505586</v>
      </c>
      <c r="AB11" s="159">
        <f t="shared" si="1"/>
        <v>4171872.8428201582</v>
      </c>
      <c r="AC11" s="159">
        <f t="shared" si="1"/>
        <v>0</v>
      </c>
      <c r="AD11" s="159">
        <f t="shared" si="1"/>
        <v>0</v>
      </c>
      <c r="AE11" s="159">
        <f t="shared" si="1"/>
        <v>0</v>
      </c>
      <c r="AF11" s="159">
        <f t="shared" si="1"/>
        <v>0</v>
      </c>
      <c r="AG11" s="159">
        <f t="shared" si="1"/>
        <v>0</v>
      </c>
      <c r="AH11" s="159">
        <f t="shared" si="1"/>
        <v>0</v>
      </c>
      <c r="AI11" s="159">
        <f t="shared" si="1"/>
        <v>0</v>
      </c>
      <c r="AJ11" s="159">
        <f t="shared" si="1"/>
        <v>0</v>
      </c>
      <c r="AK11" s="159">
        <f t="shared" si="1"/>
        <v>0</v>
      </c>
      <c r="AL11" s="95">
        <f t="shared" si="1"/>
        <v>0</v>
      </c>
      <c r="AM11" s="51"/>
      <c r="AN11" s="50"/>
      <c r="AP11" s="170">
        <v>20</v>
      </c>
      <c r="AQ11" s="170">
        <v>6</v>
      </c>
    </row>
    <row r="12" spans="1:44" ht="15.6">
      <c r="A12" s="57" t="s">
        <v>100</v>
      </c>
      <c r="B12" s="121" t="s">
        <v>80</v>
      </c>
      <c r="C12" s="59">
        <v>23</v>
      </c>
      <c r="D12" s="155"/>
      <c r="E12" s="50"/>
      <c r="F12" s="51"/>
      <c r="G12" s="198" t="s">
        <v>2</v>
      </c>
      <c r="H12" s="150"/>
      <c r="I12" s="157">
        <f t="shared" ref="I12:AL12" si="2">MAX(0,IF(I$6&gt;$C$32,0,IF($C$22=0,$C$14,IF($C$22=1,$C$14*I7,$C$14*(I7^$C$22)))))</f>
        <v>13140000</v>
      </c>
      <c r="J12" s="157">
        <f t="shared" si="2"/>
        <v>13442219.999999998</v>
      </c>
      <c r="K12" s="157">
        <f t="shared" si="2"/>
        <v>13751391.059999997</v>
      </c>
      <c r="L12" s="157">
        <f t="shared" si="2"/>
        <v>14067673.054379996</v>
      </c>
      <c r="M12" s="157">
        <f t="shared" si="2"/>
        <v>14391229.534630734</v>
      </c>
      <c r="N12" s="157">
        <f t="shared" si="2"/>
        <v>14722227.813927239</v>
      </c>
      <c r="O12" s="157">
        <f t="shared" si="2"/>
        <v>15060839.053647567</v>
      </c>
      <c r="P12" s="157">
        <f t="shared" si="2"/>
        <v>15407238.351881457</v>
      </c>
      <c r="Q12" s="157">
        <f t="shared" si="2"/>
        <v>15761604.83397473</v>
      </c>
      <c r="R12" s="157">
        <f t="shared" si="2"/>
        <v>16124121.745156147</v>
      </c>
      <c r="S12" s="157">
        <f t="shared" si="2"/>
        <v>16494976.545294736</v>
      </c>
      <c r="T12" s="157">
        <f t="shared" si="2"/>
        <v>16874361.005836513</v>
      </c>
      <c r="U12" s="157">
        <f t="shared" si="2"/>
        <v>17262471.308970753</v>
      </c>
      <c r="V12" s="157">
        <f t="shared" si="2"/>
        <v>17659508.149077076</v>
      </c>
      <c r="W12" s="157">
        <f t="shared" si="2"/>
        <v>18065676.836505849</v>
      </c>
      <c r="X12" s="157">
        <f t="shared" si="2"/>
        <v>18481187.40374548</v>
      </c>
      <c r="Y12" s="157">
        <f t="shared" si="2"/>
        <v>18906254.714031626</v>
      </c>
      <c r="Z12" s="157">
        <f t="shared" si="2"/>
        <v>19341098.572454348</v>
      </c>
      <c r="AA12" s="157">
        <f t="shared" si="2"/>
        <v>19785943.839620799</v>
      </c>
      <c r="AB12" s="157">
        <f t="shared" si="2"/>
        <v>20241020.547932073</v>
      </c>
      <c r="AC12" s="157">
        <f t="shared" si="2"/>
        <v>0</v>
      </c>
      <c r="AD12" s="157">
        <f t="shared" si="2"/>
        <v>0</v>
      </c>
      <c r="AE12" s="157">
        <f t="shared" si="2"/>
        <v>0</v>
      </c>
      <c r="AF12" s="157">
        <f t="shared" si="2"/>
        <v>0</v>
      </c>
      <c r="AG12" s="157">
        <f t="shared" si="2"/>
        <v>0</v>
      </c>
      <c r="AH12" s="157">
        <f t="shared" si="2"/>
        <v>0</v>
      </c>
      <c r="AI12" s="157">
        <f t="shared" si="2"/>
        <v>0</v>
      </c>
      <c r="AJ12" s="157">
        <f t="shared" si="2"/>
        <v>0</v>
      </c>
      <c r="AK12" s="157">
        <f t="shared" si="2"/>
        <v>0</v>
      </c>
      <c r="AL12" s="240">
        <f t="shared" si="2"/>
        <v>0</v>
      </c>
      <c r="AM12" s="51"/>
      <c r="AN12" s="50"/>
      <c r="AP12" s="170"/>
      <c r="AQ12" s="170">
        <v>7</v>
      </c>
    </row>
    <row r="13" spans="1:44" ht="15.6">
      <c r="A13" s="57" t="s">
        <v>134</v>
      </c>
      <c r="B13" s="121" t="s">
        <v>80</v>
      </c>
      <c r="C13" s="59">
        <v>25</v>
      </c>
      <c r="D13" s="155"/>
      <c r="E13" s="50"/>
      <c r="F13" s="51"/>
      <c r="G13" s="198" t="s">
        <v>132</v>
      </c>
      <c r="H13" s="150"/>
      <c r="I13" s="157">
        <f t="shared" ref="I13:AL13" si="3">MAX(0,IF(I$6&gt;$C$32,0,IF($C$22=0,$C$15,IF($C$22=1,$C$15*I7,$C$15*(I7^$C$22)))))</f>
        <v>6570000</v>
      </c>
      <c r="J13" s="157">
        <f t="shared" si="3"/>
        <v>6721109.9999999991</v>
      </c>
      <c r="K13" s="157">
        <f t="shared" si="3"/>
        <v>6875695.5299999984</v>
      </c>
      <c r="L13" s="157">
        <f t="shared" si="3"/>
        <v>7033836.527189998</v>
      </c>
      <c r="M13" s="157">
        <f t="shared" si="3"/>
        <v>7195614.7673153672</v>
      </c>
      <c r="N13" s="157">
        <f t="shared" si="3"/>
        <v>7361113.9069636194</v>
      </c>
      <c r="O13" s="157">
        <f t="shared" si="3"/>
        <v>7530419.5268237833</v>
      </c>
      <c r="P13" s="157">
        <f t="shared" si="3"/>
        <v>7703619.1759407287</v>
      </c>
      <c r="Q13" s="157">
        <f t="shared" si="3"/>
        <v>7880802.4169873651</v>
      </c>
      <c r="R13" s="157">
        <f t="shared" si="3"/>
        <v>8062060.8725780733</v>
      </c>
      <c r="S13" s="157">
        <f t="shared" si="3"/>
        <v>8247488.2726473678</v>
      </c>
      <c r="T13" s="157">
        <f t="shared" si="3"/>
        <v>8437180.5029182564</v>
      </c>
      <c r="U13" s="157">
        <f t="shared" si="3"/>
        <v>8631235.6544853766</v>
      </c>
      <c r="V13" s="157">
        <f t="shared" si="3"/>
        <v>8829754.0745385382</v>
      </c>
      <c r="W13" s="157">
        <f t="shared" si="3"/>
        <v>9032838.4182529245</v>
      </c>
      <c r="X13" s="157">
        <f t="shared" si="3"/>
        <v>9240593.7018727399</v>
      </c>
      <c r="Y13" s="157">
        <f t="shared" si="3"/>
        <v>9453127.3570158128</v>
      </c>
      <c r="Z13" s="157">
        <f t="shared" si="3"/>
        <v>9670549.2862271741</v>
      </c>
      <c r="AA13" s="157">
        <f t="shared" si="3"/>
        <v>9892971.9198103994</v>
      </c>
      <c r="AB13" s="157">
        <f t="shared" si="3"/>
        <v>10120510.273966037</v>
      </c>
      <c r="AC13" s="157">
        <f t="shared" si="3"/>
        <v>0</v>
      </c>
      <c r="AD13" s="157">
        <f t="shared" si="3"/>
        <v>0</v>
      </c>
      <c r="AE13" s="157">
        <f t="shared" si="3"/>
        <v>0</v>
      </c>
      <c r="AF13" s="157">
        <f t="shared" si="3"/>
        <v>0</v>
      </c>
      <c r="AG13" s="157">
        <f t="shared" si="3"/>
        <v>0</v>
      </c>
      <c r="AH13" s="157">
        <f t="shared" si="3"/>
        <v>0</v>
      </c>
      <c r="AI13" s="157">
        <f t="shared" si="3"/>
        <v>0</v>
      </c>
      <c r="AJ13" s="157">
        <f t="shared" si="3"/>
        <v>0</v>
      </c>
      <c r="AK13" s="157">
        <f t="shared" si="3"/>
        <v>0</v>
      </c>
      <c r="AL13" s="240">
        <f t="shared" si="3"/>
        <v>0</v>
      </c>
      <c r="AM13" s="51"/>
      <c r="AN13" s="50"/>
      <c r="AP13" s="170"/>
      <c r="AQ13" s="170">
        <v>8</v>
      </c>
    </row>
    <row r="14" spans="1:44" ht="16.2" thickBot="1">
      <c r="A14" s="53" t="s">
        <v>70</v>
      </c>
      <c r="B14" s="163" t="s">
        <v>89</v>
      </c>
      <c r="C14" s="226">
        <f>C11*C9*C7*8760</f>
        <v>13140000</v>
      </c>
      <c r="D14" s="155"/>
      <c r="E14" s="50"/>
      <c r="F14" s="51"/>
      <c r="G14" s="199" t="s">
        <v>20</v>
      </c>
      <c r="H14" s="148"/>
      <c r="I14" s="182">
        <f>SUM(I11:I13)</f>
        <v>22229483.199999999</v>
      </c>
      <c r="J14" s="182">
        <f t="shared" ref="J14:AL14" si="4">SUM(J11:J13)</f>
        <v>22760191.895707197</v>
      </c>
      <c r="K14" s="182">
        <f t="shared" si="4"/>
        <v>23303636.702780142</v>
      </c>
      <c r="L14" s="182">
        <f t="shared" si="4"/>
        <v>23860124.941307709</v>
      </c>
      <c r="M14" s="182">
        <f t="shared" si="4"/>
        <v>24429971.389196225</v>
      </c>
      <c r="N14" s="182">
        <f t="shared" si="4"/>
        <v>25013498.464207314</v>
      </c>
      <c r="O14" s="182">
        <f t="shared" si="4"/>
        <v>25596302.804755114</v>
      </c>
      <c r="P14" s="182">
        <f t="shared" si="4"/>
        <v>26192703.169868082</v>
      </c>
      <c r="Q14" s="182">
        <f t="shared" si="4"/>
        <v>26803017.163004577</v>
      </c>
      <c r="R14" s="182">
        <f t="shared" si="4"/>
        <v>27427569.81760373</v>
      </c>
      <c r="S14" s="182">
        <f t="shared" si="4"/>
        <v>28066693.771172278</v>
      </c>
      <c r="T14" s="182">
        <f t="shared" si="4"/>
        <v>28720729.443457127</v>
      </c>
      <c r="U14" s="182">
        <f t="shared" si="4"/>
        <v>29390025.218799636</v>
      </c>
      <c r="V14" s="182">
        <f t="shared" si="4"/>
        <v>30074937.632770061</v>
      </c>
      <c r="W14" s="182">
        <f t="shared" si="4"/>
        <v>30775831.563182689</v>
      </c>
      <c r="X14" s="182">
        <f t="shared" si="4"/>
        <v>31493080.425594676</v>
      </c>
      <c r="Y14" s="182">
        <f t="shared" si="4"/>
        <v>32227066.373394191</v>
      </c>
      <c r="Z14" s="182">
        <f t="shared" si="4"/>
        <v>32978180.502585504</v>
      </c>
      <c r="AA14" s="182">
        <f t="shared" si="4"/>
        <v>33746823.061381757</v>
      </c>
      <c r="AB14" s="182">
        <f t="shared" si="4"/>
        <v>34533403.66471827</v>
      </c>
      <c r="AC14" s="182">
        <f t="shared" si="4"/>
        <v>0</v>
      </c>
      <c r="AD14" s="182">
        <f t="shared" si="4"/>
        <v>0</v>
      </c>
      <c r="AE14" s="182">
        <f t="shared" si="4"/>
        <v>0</v>
      </c>
      <c r="AF14" s="182">
        <f t="shared" si="4"/>
        <v>0</v>
      </c>
      <c r="AG14" s="182">
        <f t="shared" si="4"/>
        <v>0</v>
      </c>
      <c r="AH14" s="182">
        <f t="shared" si="4"/>
        <v>0</v>
      </c>
      <c r="AI14" s="182">
        <f t="shared" si="4"/>
        <v>0</v>
      </c>
      <c r="AJ14" s="182">
        <f t="shared" si="4"/>
        <v>0</v>
      </c>
      <c r="AK14" s="182">
        <f t="shared" si="4"/>
        <v>0</v>
      </c>
      <c r="AL14" s="82">
        <f t="shared" si="4"/>
        <v>0</v>
      </c>
      <c r="AM14" s="51"/>
      <c r="AN14" s="50"/>
      <c r="AP14" s="170"/>
      <c r="AQ14" s="170">
        <v>9</v>
      </c>
    </row>
    <row r="15" spans="1:44" ht="16.2" thickTop="1">
      <c r="A15" s="57" t="s">
        <v>132</v>
      </c>
      <c r="B15" s="163" t="s">
        <v>89</v>
      </c>
      <c r="C15" s="226">
        <f>C13*C9*C7*8760</f>
        <v>6570000</v>
      </c>
      <c r="D15" s="165"/>
      <c r="E15" s="50"/>
      <c r="F15" s="51"/>
      <c r="G15" s="200" t="s">
        <v>4</v>
      </c>
      <c r="H15" s="190"/>
      <c r="I15" s="156"/>
      <c r="J15" s="149"/>
      <c r="K15" s="149"/>
      <c r="L15" s="149"/>
      <c r="M15" s="149"/>
      <c r="N15" s="149"/>
      <c r="O15" s="149"/>
      <c r="P15" s="149"/>
      <c r="Q15" s="149"/>
      <c r="R15" s="149"/>
      <c r="S15" s="63"/>
      <c r="T15" s="77"/>
      <c r="U15" s="63"/>
      <c r="V15" s="63"/>
      <c r="W15" s="63"/>
      <c r="X15" s="63"/>
      <c r="Y15" s="63"/>
      <c r="Z15" s="149"/>
      <c r="AA15" s="149"/>
      <c r="AB15" s="149"/>
      <c r="AC15" s="149"/>
      <c r="AD15" s="149"/>
      <c r="AE15" s="149"/>
      <c r="AF15" s="149"/>
      <c r="AG15" s="149"/>
      <c r="AH15" s="149"/>
      <c r="AI15" s="63"/>
      <c r="AJ15" s="77"/>
      <c r="AK15" s="63"/>
      <c r="AL15" s="233"/>
      <c r="AM15" s="51"/>
      <c r="AN15" s="50"/>
      <c r="AP15" s="170"/>
      <c r="AQ15" s="170">
        <v>10</v>
      </c>
    </row>
    <row r="16" spans="1:44" ht="15.6">
      <c r="A16" s="57" t="s">
        <v>47</v>
      </c>
      <c r="B16" s="163" t="s">
        <v>87</v>
      </c>
      <c r="C16" s="85">
        <f>'ICAP Price&amp;Impact'!O47</f>
        <v>129139.99999999999</v>
      </c>
      <c r="E16" s="50"/>
      <c r="F16" s="51"/>
      <c r="G16" s="197" t="s">
        <v>5</v>
      </c>
      <c r="H16" s="151"/>
      <c r="I16" s="159">
        <f>IF(I6&gt;$C$32,0,-$C$36)</f>
        <v>-5400000</v>
      </c>
      <c r="J16" s="143">
        <f t="shared" ref="J16:AL16" si="5">IF(J6&gt;$C$32,0,$I$16*J7)</f>
        <v>-5524199.9999999991</v>
      </c>
      <c r="K16" s="143">
        <f t="shared" si="5"/>
        <v>-5651256.5999999987</v>
      </c>
      <c r="L16" s="143">
        <f t="shared" si="5"/>
        <v>-5781235.5017999979</v>
      </c>
      <c r="M16" s="143">
        <f t="shared" si="5"/>
        <v>-5914203.9183413982</v>
      </c>
      <c r="N16" s="143">
        <f t="shared" si="5"/>
        <v>-6050230.6084632492</v>
      </c>
      <c r="O16" s="143">
        <f t="shared" si="5"/>
        <v>-6189385.9124579038</v>
      </c>
      <c r="P16" s="143">
        <f t="shared" si="5"/>
        <v>-6331741.7884444343</v>
      </c>
      <c r="Q16" s="143">
        <f t="shared" si="5"/>
        <v>-6477371.8495786563</v>
      </c>
      <c r="R16" s="143">
        <f t="shared" si="5"/>
        <v>-6626351.4021189641</v>
      </c>
      <c r="S16" s="78">
        <f t="shared" si="5"/>
        <v>-6778757.4843676994</v>
      </c>
      <c r="T16" s="78">
        <f t="shared" si="5"/>
        <v>-6934668.9065081561</v>
      </c>
      <c r="U16" s="78">
        <f t="shared" si="5"/>
        <v>-7094166.2913578432</v>
      </c>
      <c r="V16" s="78">
        <f t="shared" si="5"/>
        <v>-7257332.1160590732</v>
      </c>
      <c r="W16" s="78">
        <f t="shared" si="5"/>
        <v>-7424250.7547284318</v>
      </c>
      <c r="X16" s="78">
        <f t="shared" si="5"/>
        <v>-7595008.5220871838</v>
      </c>
      <c r="Y16" s="78">
        <f t="shared" si="5"/>
        <v>-7769693.718095188</v>
      </c>
      <c r="Z16" s="78">
        <f t="shared" si="5"/>
        <v>-7948396.6736113764</v>
      </c>
      <c r="AA16" s="78">
        <f t="shared" si="5"/>
        <v>-8131209.7971044378</v>
      </c>
      <c r="AB16" s="78">
        <f t="shared" si="5"/>
        <v>-8318227.6224378385</v>
      </c>
      <c r="AC16" s="78">
        <f t="shared" si="5"/>
        <v>0</v>
      </c>
      <c r="AD16" s="78">
        <f t="shared" si="5"/>
        <v>0</v>
      </c>
      <c r="AE16" s="78">
        <f t="shared" si="5"/>
        <v>0</v>
      </c>
      <c r="AF16" s="78">
        <f t="shared" si="5"/>
        <v>0</v>
      </c>
      <c r="AG16" s="78">
        <f t="shared" si="5"/>
        <v>0</v>
      </c>
      <c r="AH16" s="78">
        <f t="shared" si="5"/>
        <v>0</v>
      </c>
      <c r="AI16" s="78">
        <f t="shared" si="5"/>
        <v>0</v>
      </c>
      <c r="AJ16" s="78">
        <f t="shared" si="5"/>
        <v>0</v>
      </c>
      <c r="AK16" s="78">
        <f t="shared" si="5"/>
        <v>0</v>
      </c>
      <c r="AL16" s="232">
        <f t="shared" si="5"/>
        <v>0</v>
      </c>
      <c r="AM16" s="51"/>
      <c r="AN16" s="50"/>
      <c r="AQ16" s="170">
        <v>11</v>
      </c>
    </row>
    <row r="17" spans="1:43" ht="15.6">
      <c r="A17" s="57" t="s">
        <v>101</v>
      </c>
      <c r="B17" s="153" t="s">
        <v>65</v>
      </c>
      <c r="C17" s="231">
        <v>1</v>
      </c>
      <c r="D17" s="165"/>
      <c r="E17" s="50"/>
      <c r="F17" s="51"/>
      <c r="G17" s="197" t="s">
        <v>6</v>
      </c>
      <c r="H17" s="151"/>
      <c r="I17" s="157">
        <f>IF(I6&gt;$C$32,0,-$C$37)</f>
        <v>0</v>
      </c>
      <c r="J17" s="191">
        <f t="shared" ref="J17:AL17" si="6">IF(J6&gt;$C$32,0,$I$17*J7)</f>
        <v>0</v>
      </c>
      <c r="K17" s="191">
        <f t="shared" si="6"/>
        <v>0</v>
      </c>
      <c r="L17" s="191">
        <f t="shared" si="6"/>
        <v>0</v>
      </c>
      <c r="M17" s="191">
        <f t="shared" si="6"/>
        <v>0</v>
      </c>
      <c r="N17" s="191">
        <f t="shared" si="6"/>
        <v>0</v>
      </c>
      <c r="O17" s="191">
        <f t="shared" si="6"/>
        <v>0</v>
      </c>
      <c r="P17" s="191">
        <f t="shared" si="6"/>
        <v>0</v>
      </c>
      <c r="Q17" s="191">
        <f t="shared" si="6"/>
        <v>0</v>
      </c>
      <c r="R17" s="191">
        <f t="shared" si="6"/>
        <v>0</v>
      </c>
      <c r="S17" s="87">
        <f t="shared" si="6"/>
        <v>0</v>
      </c>
      <c r="T17" s="87">
        <f t="shared" si="6"/>
        <v>0</v>
      </c>
      <c r="U17" s="87">
        <f t="shared" si="6"/>
        <v>0</v>
      </c>
      <c r="V17" s="87">
        <f t="shared" si="6"/>
        <v>0</v>
      </c>
      <c r="W17" s="87">
        <f t="shared" si="6"/>
        <v>0</v>
      </c>
      <c r="X17" s="87">
        <f t="shared" si="6"/>
        <v>0</v>
      </c>
      <c r="Y17" s="87">
        <f t="shared" si="6"/>
        <v>0</v>
      </c>
      <c r="Z17" s="87">
        <f t="shared" si="6"/>
        <v>0</v>
      </c>
      <c r="AA17" s="87">
        <f t="shared" si="6"/>
        <v>0</v>
      </c>
      <c r="AB17" s="87">
        <f t="shared" si="6"/>
        <v>0</v>
      </c>
      <c r="AC17" s="87">
        <f t="shared" si="6"/>
        <v>0</v>
      </c>
      <c r="AD17" s="87">
        <f t="shared" si="6"/>
        <v>0</v>
      </c>
      <c r="AE17" s="87">
        <f t="shared" si="6"/>
        <v>0</v>
      </c>
      <c r="AF17" s="87">
        <f t="shared" si="6"/>
        <v>0</v>
      </c>
      <c r="AG17" s="87">
        <f t="shared" si="6"/>
        <v>0</v>
      </c>
      <c r="AH17" s="87">
        <f t="shared" si="6"/>
        <v>0</v>
      </c>
      <c r="AI17" s="87">
        <f t="shared" si="6"/>
        <v>0</v>
      </c>
      <c r="AJ17" s="87">
        <f t="shared" si="6"/>
        <v>0</v>
      </c>
      <c r="AK17" s="87">
        <f t="shared" si="6"/>
        <v>0</v>
      </c>
      <c r="AL17" s="232">
        <f t="shared" si="6"/>
        <v>0</v>
      </c>
      <c r="AM17" s="51"/>
      <c r="AN17" s="50"/>
      <c r="AQ17" s="170">
        <v>12</v>
      </c>
    </row>
    <row r="18" spans="1:43" ht="15.6">
      <c r="A18" s="57" t="s">
        <v>102</v>
      </c>
      <c r="B18" s="153" t="s">
        <v>65</v>
      </c>
      <c r="C18" s="231">
        <v>1</v>
      </c>
      <c r="D18" s="165"/>
      <c r="E18" s="50"/>
      <c r="F18" s="51"/>
      <c r="G18" s="197" t="s">
        <v>7</v>
      </c>
      <c r="H18" s="151"/>
      <c r="I18" s="157">
        <f t="shared" ref="I18:AL18" si="7">IF(I6&gt;$C$32,0,-$C$38)</f>
        <v>0</v>
      </c>
      <c r="J18" s="157">
        <f t="shared" si="7"/>
        <v>0</v>
      </c>
      <c r="K18" s="157">
        <f t="shared" si="7"/>
        <v>0</v>
      </c>
      <c r="L18" s="157">
        <f t="shared" si="7"/>
        <v>0</v>
      </c>
      <c r="M18" s="157">
        <f t="shared" si="7"/>
        <v>0</v>
      </c>
      <c r="N18" s="157">
        <f t="shared" si="7"/>
        <v>0</v>
      </c>
      <c r="O18" s="157">
        <f t="shared" si="7"/>
        <v>0</v>
      </c>
      <c r="P18" s="157">
        <f t="shared" si="7"/>
        <v>0</v>
      </c>
      <c r="Q18" s="157">
        <f t="shared" si="7"/>
        <v>0</v>
      </c>
      <c r="R18" s="157">
        <f t="shared" si="7"/>
        <v>0</v>
      </c>
      <c r="S18" s="70">
        <f t="shared" si="7"/>
        <v>0</v>
      </c>
      <c r="T18" s="70">
        <f t="shared" si="7"/>
        <v>0</v>
      </c>
      <c r="U18" s="70">
        <f t="shared" si="7"/>
        <v>0</v>
      </c>
      <c r="V18" s="70">
        <f t="shared" si="7"/>
        <v>0</v>
      </c>
      <c r="W18" s="70">
        <f t="shared" si="7"/>
        <v>0</v>
      </c>
      <c r="X18" s="70">
        <f t="shared" si="7"/>
        <v>0</v>
      </c>
      <c r="Y18" s="70">
        <f t="shared" si="7"/>
        <v>0</v>
      </c>
      <c r="Z18" s="157">
        <f t="shared" si="7"/>
        <v>0</v>
      </c>
      <c r="AA18" s="157">
        <f t="shared" si="7"/>
        <v>0</v>
      </c>
      <c r="AB18" s="157">
        <f t="shared" si="7"/>
        <v>0</v>
      </c>
      <c r="AC18" s="157">
        <f t="shared" si="7"/>
        <v>0</v>
      </c>
      <c r="AD18" s="157">
        <f t="shared" si="7"/>
        <v>0</v>
      </c>
      <c r="AE18" s="157">
        <f t="shared" si="7"/>
        <v>0</v>
      </c>
      <c r="AF18" s="157">
        <f t="shared" si="7"/>
        <v>0</v>
      </c>
      <c r="AG18" s="157">
        <f t="shared" si="7"/>
        <v>0</v>
      </c>
      <c r="AH18" s="157">
        <f t="shared" si="7"/>
        <v>0</v>
      </c>
      <c r="AI18" s="70">
        <f t="shared" si="7"/>
        <v>0</v>
      </c>
      <c r="AJ18" s="70">
        <f t="shared" si="7"/>
        <v>0</v>
      </c>
      <c r="AK18" s="70">
        <f t="shared" si="7"/>
        <v>0</v>
      </c>
      <c r="AL18" s="232">
        <f t="shared" si="7"/>
        <v>0</v>
      </c>
      <c r="AM18" s="51"/>
      <c r="AN18" s="50"/>
      <c r="AQ18" s="170">
        <v>13</v>
      </c>
    </row>
    <row r="19" spans="1:43" ht="15.6">
      <c r="A19" s="57" t="s">
        <v>103</v>
      </c>
      <c r="B19" s="153" t="s">
        <v>65</v>
      </c>
      <c r="C19" s="231">
        <v>1</v>
      </c>
      <c r="D19" s="165"/>
      <c r="E19" s="50"/>
      <c r="F19" s="51"/>
      <c r="G19" s="550" t="s">
        <v>149</v>
      </c>
      <c r="H19" s="151"/>
      <c r="I19" s="157">
        <f>IF(I6&gt;$C$32,0,-$C$39)</f>
        <v>0</v>
      </c>
      <c r="J19" s="157">
        <f t="shared" ref="J19:AL19" si="8">IF(J6&gt;$C$32,0,-$C$39)</f>
        <v>0</v>
      </c>
      <c r="K19" s="157">
        <f t="shared" si="8"/>
        <v>0</v>
      </c>
      <c r="L19" s="157">
        <f t="shared" si="8"/>
        <v>0</v>
      </c>
      <c r="M19" s="157">
        <f t="shared" si="8"/>
        <v>0</v>
      </c>
      <c r="N19" s="157">
        <f t="shared" si="8"/>
        <v>0</v>
      </c>
      <c r="O19" s="157">
        <f t="shared" si="8"/>
        <v>0</v>
      </c>
      <c r="P19" s="157">
        <f t="shared" si="8"/>
        <v>0</v>
      </c>
      <c r="Q19" s="157">
        <f t="shared" si="8"/>
        <v>0</v>
      </c>
      <c r="R19" s="157">
        <f t="shared" si="8"/>
        <v>0</v>
      </c>
      <c r="S19" s="70">
        <f t="shared" si="8"/>
        <v>0</v>
      </c>
      <c r="T19" s="70">
        <f t="shared" si="8"/>
        <v>0</v>
      </c>
      <c r="U19" s="70">
        <f t="shared" si="8"/>
        <v>0</v>
      </c>
      <c r="V19" s="70">
        <f t="shared" si="8"/>
        <v>0</v>
      </c>
      <c r="W19" s="70">
        <f t="shared" si="8"/>
        <v>0</v>
      </c>
      <c r="X19" s="70">
        <f t="shared" si="8"/>
        <v>0</v>
      </c>
      <c r="Y19" s="70">
        <f t="shared" si="8"/>
        <v>0</v>
      </c>
      <c r="Z19" s="157">
        <f t="shared" si="8"/>
        <v>0</v>
      </c>
      <c r="AA19" s="157">
        <f t="shared" si="8"/>
        <v>0</v>
      </c>
      <c r="AB19" s="157">
        <f t="shared" si="8"/>
        <v>0</v>
      </c>
      <c r="AC19" s="157">
        <f t="shared" si="8"/>
        <v>0</v>
      </c>
      <c r="AD19" s="157">
        <f t="shared" si="8"/>
        <v>0</v>
      </c>
      <c r="AE19" s="157">
        <f t="shared" si="8"/>
        <v>0</v>
      </c>
      <c r="AF19" s="157">
        <f t="shared" si="8"/>
        <v>0</v>
      </c>
      <c r="AG19" s="157">
        <f t="shared" si="8"/>
        <v>0</v>
      </c>
      <c r="AH19" s="157">
        <f t="shared" si="8"/>
        <v>0</v>
      </c>
      <c r="AI19" s="70">
        <f t="shared" si="8"/>
        <v>0</v>
      </c>
      <c r="AJ19" s="70">
        <f t="shared" si="8"/>
        <v>0</v>
      </c>
      <c r="AK19" s="70">
        <f t="shared" si="8"/>
        <v>0</v>
      </c>
      <c r="AL19" s="232">
        <f t="shared" si="8"/>
        <v>0</v>
      </c>
      <c r="AM19" s="51"/>
      <c r="AN19" s="50"/>
      <c r="AQ19" s="170">
        <v>14</v>
      </c>
    </row>
    <row r="20" spans="1:43" ht="16.2" thickBot="1">
      <c r="A20" s="53" t="s">
        <v>78</v>
      </c>
      <c r="B20" s="60"/>
      <c r="C20" s="236">
        <f>-C17*'ICAP Price&amp;Impact'!$P$57-C18*'ICAP Price&amp;Impact'!P38-C19*'ICAP Price&amp;Impact'!P19</f>
        <v>226689648.10000014</v>
      </c>
      <c r="D20" s="166"/>
      <c r="E20" s="50"/>
      <c r="F20" s="51"/>
      <c r="G20" s="201" t="s">
        <v>21</v>
      </c>
      <c r="H20" s="147"/>
      <c r="I20" s="184">
        <f>SUM(I16:I19)</f>
        <v>-5400000</v>
      </c>
      <c r="J20" s="185">
        <f t="shared" ref="J20:AL20" si="9">SUM(J16:J19)</f>
        <v>-5524199.9999999991</v>
      </c>
      <c r="K20" s="185">
        <f t="shared" si="9"/>
        <v>-5651256.5999999987</v>
      </c>
      <c r="L20" s="185">
        <f t="shared" si="9"/>
        <v>-5781235.5017999979</v>
      </c>
      <c r="M20" s="185">
        <f t="shared" si="9"/>
        <v>-5914203.9183413982</v>
      </c>
      <c r="N20" s="185">
        <f t="shared" si="9"/>
        <v>-6050230.6084632492</v>
      </c>
      <c r="O20" s="185">
        <f t="shared" si="9"/>
        <v>-6189385.9124579038</v>
      </c>
      <c r="P20" s="185">
        <f t="shared" si="9"/>
        <v>-6331741.7884444343</v>
      </c>
      <c r="Q20" s="185">
        <f t="shared" si="9"/>
        <v>-6477371.8495786563</v>
      </c>
      <c r="R20" s="185">
        <f t="shared" si="9"/>
        <v>-6626351.4021189641</v>
      </c>
      <c r="S20" s="65">
        <f t="shared" si="9"/>
        <v>-6778757.4843676994</v>
      </c>
      <c r="T20" s="65">
        <f t="shared" si="9"/>
        <v>-6934668.9065081561</v>
      </c>
      <c r="U20" s="65">
        <f t="shared" si="9"/>
        <v>-7094166.2913578432</v>
      </c>
      <c r="V20" s="65">
        <f t="shared" si="9"/>
        <v>-7257332.1160590732</v>
      </c>
      <c r="W20" s="65">
        <f t="shared" si="9"/>
        <v>-7424250.7547284318</v>
      </c>
      <c r="X20" s="65">
        <f t="shared" si="9"/>
        <v>-7595008.5220871838</v>
      </c>
      <c r="Y20" s="65">
        <f t="shared" si="9"/>
        <v>-7769693.718095188</v>
      </c>
      <c r="Z20" s="185">
        <f t="shared" si="9"/>
        <v>-7948396.6736113764</v>
      </c>
      <c r="AA20" s="185">
        <f t="shared" si="9"/>
        <v>-8131209.7971044378</v>
      </c>
      <c r="AB20" s="185">
        <f t="shared" si="9"/>
        <v>-8318227.6224378385</v>
      </c>
      <c r="AC20" s="185">
        <f t="shared" si="9"/>
        <v>0</v>
      </c>
      <c r="AD20" s="185">
        <f t="shared" si="9"/>
        <v>0</v>
      </c>
      <c r="AE20" s="185">
        <f t="shared" si="9"/>
        <v>0</v>
      </c>
      <c r="AF20" s="185">
        <f t="shared" si="9"/>
        <v>0</v>
      </c>
      <c r="AG20" s="185">
        <f t="shared" si="9"/>
        <v>0</v>
      </c>
      <c r="AH20" s="185">
        <f t="shared" si="9"/>
        <v>0</v>
      </c>
      <c r="AI20" s="65">
        <f t="shared" si="9"/>
        <v>0</v>
      </c>
      <c r="AJ20" s="65">
        <f t="shared" si="9"/>
        <v>0</v>
      </c>
      <c r="AK20" s="65">
        <f t="shared" si="9"/>
        <v>0</v>
      </c>
      <c r="AL20" s="234">
        <f t="shared" si="9"/>
        <v>0</v>
      </c>
      <c r="AM20" s="51"/>
      <c r="AN20" s="50"/>
      <c r="AQ20" s="170">
        <v>15</v>
      </c>
    </row>
    <row r="21" spans="1:43" ht="16.2" thickTop="1">
      <c r="A21" s="57" t="s">
        <v>76</v>
      </c>
      <c r="B21" s="169" t="s">
        <v>88</v>
      </c>
      <c r="C21" s="238">
        <v>5</v>
      </c>
      <c r="D21" s="166"/>
      <c r="E21" s="50"/>
      <c r="F21" s="51"/>
      <c r="G21" s="202"/>
      <c r="H21" s="149"/>
      <c r="I21" s="156"/>
      <c r="J21" s="149"/>
      <c r="K21" s="149"/>
      <c r="L21" s="149"/>
      <c r="M21" s="149"/>
      <c r="N21" s="149"/>
      <c r="O21" s="149"/>
      <c r="P21" s="149"/>
      <c r="Q21" s="149"/>
      <c r="R21" s="149"/>
      <c r="S21" s="63"/>
      <c r="T21" s="63"/>
      <c r="U21" s="63"/>
      <c r="V21" s="63"/>
      <c r="W21" s="63"/>
      <c r="X21" s="63"/>
      <c r="Y21" s="63"/>
      <c r="Z21" s="149"/>
      <c r="AA21" s="149"/>
      <c r="AB21" s="149"/>
      <c r="AC21" s="149"/>
      <c r="AD21" s="149"/>
      <c r="AE21" s="149"/>
      <c r="AF21" s="149"/>
      <c r="AG21" s="149"/>
      <c r="AH21" s="149"/>
      <c r="AI21" s="63"/>
      <c r="AJ21" s="63"/>
      <c r="AK21" s="63"/>
      <c r="AL21" s="233"/>
      <c r="AM21" s="51"/>
      <c r="AN21" s="50"/>
      <c r="AQ21" s="170">
        <v>16</v>
      </c>
    </row>
    <row r="22" spans="1:43" ht="15.6">
      <c r="A22" s="53" t="s">
        <v>48</v>
      </c>
      <c r="B22" s="163"/>
      <c r="C22" s="239">
        <v>1</v>
      </c>
      <c r="D22" s="166"/>
      <c r="E22" s="50"/>
      <c r="F22" s="51"/>
      <c r="G22" s="197" t="s">
        <v>22</v>
      </c>
      <c r="H22" s="151"/>
      <c r="I22" s="159">
        <f t="shared" ref="I22:AL22" si="10">I14+I20</f>
        <v>16829483.199999999</v>
      </c>
      <c r="J22" s="143">
        <f t="shared" si="10"/>
        <v>17235991.895707197</v>
      </c>
      <c r="K22" s="143">
        <f t="shared" si="10"/>
        <v>17652380.102780145</v>
      </c>
      <c r="L22" s="143">
        <f t="shared" si="10"/>
        <v>18078889.439507712</v>
      </c>
      <c r="M22" s="143">
        <f t="shared" si="10"/>
        <v>18515767.470854826</v>
      </c>
      <c r="N22" s="143">
        <f t="shared" si="10"/>
        <v>18963267.855744064</v>
      </c>
      <c r="O22" s="143">
        <f t="shared" si="10"/>
        <v>19406916.892297208</v>
      </c>
      <c r="P22" s="143">
        <f t="shared" si="10"/>
        <v>19860961.381423648</v>
      </c>
      <c r="Q22" s="143">
        <f t="shared" si="10"/>
        <v>20325645.313425921</v>
      </c>
      <c r="R22" s="143">
        <f t="shared" si="10"/>
        <v>20801218.415484764</v>
      </c>
      <c r="S22" s="78">
        <f t="shared" si="10"/>
        <v>21287936.286804579</v>
      </c>
      <c r="T22" s="143">
        <f t="shared" si="10"/>
        <v>21786060.536948971</v>
      </c>
      <c r="U22" s="143">
        <f t="shared" si="10"/>
        <v>22295858.927441791</v>
      </c>
      <c r="V22" s="143">
        <f t="shared" si="10"/>
        <v>22817605.516710989</v>
      </c>
      <c r="W22" s="143">
        <f t="shared" si="10"/>
        <v>23351580.808454257</v>
      </c>
      <c r="X22" s="143">
        <f t="shared" si="10"/>
        <v>23898071.903507493</v>
      </c>
      <c r="Y22" s="143">
        <f t="shared" si="10"/>
        <v>24457372.655299004</v>
      </c>
      <c r="Z22" s="143">
        <f t="shared" si="10"/>
        <v>25029783.828974128</v>
      </c>
      <c r="AA22" s="143">
        <f t="shared" si="10"/>
        <v>25615613.26427732</v>
      </c>
      <c r="AB22" s="143">
        <f t="shared" si="10"/>
        <v>26215176.042280432</v>
      </c>
      <c r="AC22" s="143">
        <f t="shared" si="10"/>
        <v>0</v>
      </c>
      <c r="AD22" s="143">
        <f t="shared" si="10"/>
        <v>0</v>
      </c>
      <c r="AE22" s="143">
        <f t="shared" si="10"/>
        <v>0</v>
      </c>
      <c r="AF22" s="143">
        <f t="shared" si="10"/>
        <v>0</v>
      </c>
      <c r="AG22" s="143">
        <f t="shared" si="10"/>
        <v>0</v>
      </c>
      <c r="AH22" s="143">
        <f t="shared" si="10"/>
        <v>0</v>
      </c>
      <c r="AI22" s="78">
        <f t="shared" si="10"/>
        <v>0</v>
      </c>
      <c r="AJ22" s="143">
        <f t="shared" si="10"/>
        <v>0</v>
      </c>
      <c r="AK22" s="143">
        <f t="shared" si="10"/>
        <v>0</v>
      </c>
      <c r="AL22" s="84">
        <f t="shared" si="10"/>
        <v>0</v>
      </c>
      <c r="AM22" s="51"/>
      <c r="AN22" s="50"/>
      <c r="AQ22" s="170">
        <v>17</v>
      </c>
    </row>
    <row r="23" spans="1:43" ht="15.6">
      <c r="A23" s="57" t="s">
        <v>129</v>
      </c>
      <c r="B23" s="153"/>
      <c r="C23" s="242" t="s">
        <v>130</v>
      </c>
      <c r="D23" s="166"/>
      <c r="E23" s="50"/>
      <c r="F23" s="51"/>
      <c r="G23" s="197" t="s">
        <v>23</v>
      </c>
      <c r="H23" s="151"/>
      <c r="I23" s="157">
        <f>I49</f>
        <v>-7249500</v>
      </c>
      <c r="J23" s="144">
        <f t="shared" ref="J23:AL23" si="11">J49</f>
        <v>-7038690.9610414915</v>
      </c>
      <c r="K23" s="144">
        <f t="shared" si="11"/>
        <v>-6816561.4766909108</v>
      </c>
      <c r="L23" s="144">
        <f t="shared" si="11"/>
        <v>-6582503.6390307043</v>
      </c>
      <c r="M23" s="144">
        <f t="shared" si="11"/>
        <v>-6335876.8954881458</v>
      </c>
      <c r="N23" s="144">
        <f t="shared" si="11"/>
        <v>-6076006.29581735</v>
      </c>
      <c r="O23" s="144">
        <f t="shared" si="11"/>
        <v>-5802180.6449442338</v>
      </c>
      <c r="P23" s="144">
        <f t="shared" si="11"/>
        <v>-5513650.5566192307</v>
      </c>
      <c r="Q23" s="144">
        <f t="shared" si="11"/>
        <v>-5209626.4025511751</v>
      </c>
      <c r="R23" s="144">
        <f t="shared" si="11"/>
        <v>-4889276.1514096642</v>
      </c>
      <c r="S23" s="62">
        <f t="shared" si="11"/>
        <v>-4551723.0917818546</v>
      </c>
      <c r="T23" s="144">
        <f t="shared" si="11"/>
        <v>-4196043.4328520317</v>
      </c>
      <c r="U23" s="144">
        <f t="shared" si="11"/>
        <v>-3821263.7762376778</v>
      </c>
      <c r="V23" s="144">
        <f t="shared" si="11"/>
        <v>-3426358.4520631325</v>
      </c>
      <c r="W23" s="144">
        <f t="shared" si="11"/>
        <v>-3010246.7119804146</v>
      </c>
      <c r="X23" s="144">
        <f t="shared" si="11"/>
        <v>-2571789.7714552544</v>
      </c>
      <c r="Y23" s="144">
        <f t="shared" si="11"/>
        <v>-2109787.6932238932</v>
      </c>
      <c r="Z23" s="144">
        <f t="shared" si="11"/>
        <v>-1622976.1033915079</v>
      </c>
      <c r="AA23" s="144">
        <f t="shared" si="11"/>
        <v>-1110022.7311851236</v>
      </c>
      <c r="AB23" s="144">
        <f t="shared" si="11"/>
        <v>-569523.76289125625</v>
      </c>
      <c r="AC23" s="144">
        <f t="shared" si="11"/>
        <v>0</v>
      </c>
      <c r="AD23" s="144">
        <f t="shared" si="11"/>
        <v>0</v>
      </c>
      <c r="AE23" s="144">
        <f t="shared" si="11"/>
        <v>0</v>
      </c>
      <c r="AF23" s="144">
        <f t="shared" si="11"/>
        <v>0</v>
      </c>
      <c r="AG23" s="144">
        <f t="shared" si="11"/>
        <v>0</v>
      </c>
      <c r="AH23" s="144">
        <f t="shared" si="11"/>
        <v>0</v>
      </c>
      <c r="AI23" s="62">
        <f t="shared" si="11"/>
        <v>0</v>
      </c>
      <c r="AJ23" s="144">
        <f t="shared" si="11"/>
        <v>0</v>
      </c>
      <c r="AK23" s="144">
        <f t="shared" si="11"/>
        <v>0</v>
      </c>
      <c r="AL23" s="75">
        <f t="shared" si="11"/>
        <v>0</v>
      </c>
      <c r="AM23" s="51"/>
      <c r="AN23" s="50"/>
      <c r="AQ23" s="170">
        <v>18</v>
      </c>
    </row>
    <row r="24" spans="1:43" ht="15.6">
      <c r="A24" s="76" t="s">
        <v>8</v>
      </c>
      <c r="B24" s="90"/>
      <c r="C24" s="64"/>
      <c r="D24" s="167"/>
      <c r="E24" s="50"/>
      <c r="F24" s="51"/>
      <c r="G24" s="198" t="s">
        <v>24</v>
      </c>
      <c r="H24" s="150"/>
      <c r="I24" s="157">
        <f>I44</f>
        <v>-54000000</v>
      </c>
      <c r="J24" s="144">
        <f>J44</f>
        <v>-86400000</v>
      </c>
      <c r="K24" s="144">
        <f t="shared" ref="K24:AL24" si="12">K44</f>
        <v>-51840000</v>
      </c>
      <c r="L24" s="144">
        <f t="shared" si="12"/>
        <v>-31104000</v>
      </c>
      <c r="M24" s="144">
        <f t="shared" si="12"/>
        <v>-31104000</v>
      </c>
      <c r="N24" s="144">
        <f t="shared" si="12"/>
        <v>-15552000</v>
      </c>
      <c r="O24" s="144">
        <f t="shared" si="12"/>
        <v>0</v>
      </c>
      <c r="P24" s="144">
        <f t="shared" si="12"/>
        <v>0</v>
      </c>
      <c r="Q24" s="144">
        <f t="shared" si="12"/>
        <v>0</v>
      </c>
      <c r="R24" s="144">
        <f t="shared" si="12"/>
        <v>0</v>
      </c>
      <c r="S24" s="62">
        <f t="shared" si="12"/>
        <v>0</v>
      </c>
      <c r="T24" s="144">
        <f t="shared" si="12"/>
        <v>0</v>
      </c>
      <c r="U24" s="144">
        <f t="shared" si="12"/>
        <v>0</v>
      </c>
      <c r="V24" s="144">
        <f t="shared" si="12"/>
        <v>0</v>
      </c>
      <c r="W24" s="144">
        <f t="shared" si="12"/>
        <v>0</v>
      </c>
      <c r="X24" s="144">
        <f t="shared" si="12"/>
        <v>0</v>
      </c>
      <c r="Y24" s="144">
        <f t="shared" si="12"/>
        <v>0</v>
      </c>
      <c r="Z24" s="144">
        <f t="shared" si="12"/>
        <v>0</v>
      </c>
      <c r="AA24" s="144">
        <f t="shared" si="12"/>
        <v>0</v>
      </c>
      <c r="AB24" s="144">
        <f t="shared" si="12"/>
        <v>0</v>
      </c>
      <c r="AC24" s="144">
        <f t="shared" si="12"/>
        <v>0</v>
      </c>
      <c r="AD24" s="144">
        <f t="shared" si="12"/>
        <v>0</v>
      </c>
      <c r="AE24" s="144">
        <f t="shared" si="12"/>
        <v>0</v>
      </c>
      <c r="AF24" s="144">
        <f t="shared" si="12"/>
        <v>0</v>
      </c>
      <c r="AG24" s="144">
        <f t="shared" si="12"/>
        <v>0</v>
      </c>
      <c r="AH24" s="144">
        <f t="shared" si="12"/>
        <v>0</v>
      </c>
      <c r="AI24" s="62">
        <f t="shared" si="12"/>
        <v>0</v>
      </c>
      <c r="AJ24" s="144">
        <f t="shared" si="12"/>
        <v>0</v>
      </c>
      <c r="AK24" s="144">
        <f t="shared" si="12"/>
        <v>0</v>
      </c>
      <c r="AL24" s="75">
        <f t="shared" si="12"/>
        <v>0</v>
      </c>
      <c r="AM24" s="51"/>
      <c r="AN24" s="50"/>
      <c r="AQ24" s="170">
        <v>19</v>
      </c>
    </row>
    <row r="25" spans="1:43" ht="16.2" thickBot="1">
      <c r="A25" s="57" t="s">
        <v>9</v>
      </c>
      <c r="B25" s="60"/>
      <c r="C25" s="227">
        <v>0.5</v>
      </c>
      <c r="E25" s="50"/>
      <c r="F25" s="51"/>
      <c r="G25" s="199" t="s">
        <v>25</v>
      </c>
      <c r="H25" s="148"/>
      <c r="I25" s="182">
        <f>SUM(I22:I24)</f>
        <v>-44420016.799999997</v>
      </c>
      <c r="J25" s="183">
        <f t="shared" ref="J25:R25" si="13">SUM(J22:J24)</f>
        <v>-76202699.06533429</v>
      </c>
      <c r="K25" s="183">
        <f t="shared" si="13"/>
        <v>-41004181.37391077</v>
      </c>
      <c r="L25" s="183">
        <f t="shared" si="13"/>
        <v>-19607614.199522994</v>
      </c>
      <c r="M25" s="183">
        <f t="shared" si="13"/>
        <v>-18924109.42463332</v>
      </c>
      <c r="N25" s="183">
        <f t="shared" si="13"/>
        <v>-2664738.4400732853</v>
      </c>
      <c r="O25" s="183">
        <f t="shared" si="13"/>
        <v>13604736.247352974</v>
      </c>
      <c r="P25" s="183">
        <f t="shared" si="13"/>
        <v>14347310.824804418</v>
      </c>
      <c r="Q25" s="183">
        <f t="shared" si="13"/>
        <v>15116018.910874747</v>
      </c>
      <c r="R25" s="183">
        <f t="shared" si="13"/>
        <v>15911942.2640751</v>
      </c>
      <c r="S25" s="69">
        <f t="shared" ref="S25:Y25" si="14">SUM(S22:S24)</f>
        <v>16736213.195022725</v>
      </c>
      <c r="T25" s="183">
        <f t="shared" si="14"/>
        <v>17590017.104096942</v>
      </c>
      <c r="U25" s="183">
        <f t="shared" si="14"/>
        <v>18474595.151204113</v>
      </c>
      <c r="V25" s="183">
        <f t="shared" si="14"/>
        <v>19391247.064647857</v>
      </c>
      <c r="W25" s="183">
        <f t="shared" si="14"/>
        <v>20341334.096473843</v>
      </c>
      <c r="X25" s="183">
        <f t="shared" si="14"/>
        <v>21326282.132052239</v>
      </c>
      <c r="Y25" s="183">
        <f t="shared" si="14"/>
        <v>22347584.962075111</v>
      </c>
      <c r="Z25" s="183">
        <f t="shared" ref="Z25:AH25" si="15">SUM(Z22:Z24)</f>
        <v>23406807.725582618</v>
      </c>
      <c r="AA25" s="183">
        <f t="shared" si="15"/>
        <v>24505590.533092197</v>
      </c>
      <c r="AB25" s="183">
        <f t="shared" si="15"/>
        <v>25645652.279389177</v>
      </c>
      <c r="AC25" s="183">
        <f t="shared" si="15"/>
        <v>0</v>
      </c>
      <c r="AD25" s="183">
        <f t="shared" si="15"/>
        <v>0</v>
      </c>
      <c r="AE25" s="183">
        <f t="shared" si="15"/>
        <v>0</v>
      </c>
      <c r="AF25" s="183">
        <f t="shared" si="15"/>
        <v>0</v>
      </c>
      <c r="AG25" s="183">
        <f t="shared" si="15"/>
        <v>0</v>
      </c>
      <c r="AH25" s="183">
        <f t="shared" si="15"/>
        <v>0</v>
      </c>
      <c r="AI25" s="69">
        <f>SUM(AI22:AI24)</f>
        <v>0</v>
      </c>
      <c r="AJ25" s="183">
        <f>SUM(AJ22:AJ24)</f>
        <v>0</v>
      </c>
      <c r="AK25" s="183">
        <f>SUM(AK22:AK24)</f>
        <v>0</v>
      </c>
      <c r="AL25" s="81">
        <f>SUM(AL22:AL24)</f>
        <v>0</v>
      </c>
      <c r="AM25" s="51"/>
      <c r="AN25" s="50"/>
      <c r="AQ25" s="170">
        <v>20</v>
      </c>
    </row>
    <row r="26" spans="1:43" ht="16.2" thickTop="1">
      <c r="A26" s="53" t="s">
        <v>10</v>
      </c>
      <c r="B26" s="154"/>
      <c r="C26" s="241">
        <f>1-C25</f>
        <v>0.5</v>
      </c>
      <c r="D26" s="155"/>
      <c r="E26" s="50"/>
      <c r="F26" s="51"/>
      <c r="G26" s="202"/>
      <c r="H26" s="149"/>
      <c r="I26" s="156"/>
      <c r="J26" s="149"/>
      <c r="K26" s="149"/>
      <c r="L26" s="149"/>
      <c r="M26" s="149"/>
      <c r="N26" s="149"/>
      <c r="O26" s="149"/>
      <c r="P26" s="149"/>
      <c r="Q26" s="149"/>
      <c r="R26" s="149"/>
      <c r="S26" s="63"/>
      <c r="T26" s="149"/>
      <c r="U26" s="149"/>
      <c r="V26" s="149"/>
      <c r="W26" s="63"/>
      <c r="X26" s="63"/>
      <c r="Y26" s="63"/>
      <c r="Z26" s="149"/>
      <c r="AA26" s="149"/>
      <c r="AB26" s="149"/>
      <c r="AC26" s="149"/>
      <c r="AD26" s="149"/>
      <c r="AE26" s="149"/>
      <c r="AF26" s="149"/>
      <c r="AG26" s="149"/>
      <c r="AH26" s="149"/>
      <c r="AI26" s="63"/>
      <c r="AJ26" s="149"/>
      <c r="AK26" s="149"/>
      <c r="AL26" s="235"/>
      <c r="AM26" s="51"/>
      <c r="AN26" s="50"/>
      <c r="AQ26" s="170">
        <v>21</v>
      </c>
    </row>
    <row r="27" spans="1:43" ht="15.6">
      <c r="A27" s="57" t="s">
        <v>11</v>
      </c>
      <c r="B27" s="60"/>
      <c r="C27" s="593">
        <v>5.3699999999999998E-2</v>
      </c>
      <c r="D27" s="155"/>
      <c r="E27" s="50"/>
      <c r="F27" s="51"/>
      <c r="G27" s="203" t="s">
        <v>133</v>
      </c>
      <c r="H27" s="149"/>
      <c r="I27" s="157">
        <f>MAX(0,IF(I$6&gt;$C$31,0,$C$12*$C$9*$C$7*8760))</f>
        <v>6044400</v>
      </c>
      <c r="J27" s="157">
        <f t="shared" ref="J27:AL27" si="16">MAX(0,IF(J$6&gt;$C$31,0,$C$12*$C$9*$C$7*8760))</f>
        <v>6044400</v>
      </c>
      <c r="K27" s="157">
        <f t="shared" si="16"/>
        <v>6044400</v>
      </c>
      <c r="L27" s="157">
        <f t="shared" si="16"/>
        <v>6044400</v>
      </c>
      <c r="M27" s="157">
        <f t="shared" si="16"/>
        <v>6044400</v>
      </c>
      <c r="N27" s="157">
        <f t="shared" si="16"/>
        <v>6044400</v>
      </c>
      <c r="O27" s="157">
        <f t="shared" si="16"/>
        <v>6044400</v>
      </c>
      <c r="P27" s="157">
        <f t="shared" si="16"/>
        <v>6044400</v>
      </c>
      <c r="Q27" s="157">
        <f t="shared" si="16"/>
        <v>6044400</v>
      </c>
      <c r="R27" s="157">
        <f t="shared" si="16"/>
        <v>6044400</v>
      </c>
      <c r="S27" s="157">
        <f t="shared" si="16"/>
        <v>0</v>
      </c>
      <c r="T27" s="157">
        <f t="shared" si="16"/>
        <v>0</v>
      </c>
      <c r="U27" s="157">
        <f t="shared" si="16"/>
        <v>0</v>
      </c>
      <c r="V27" s="157">
        <f t="shared" si="16"/>
        <v>0</v>
      </c>
      <c r="W27" s="157">
        <f t="shared" si="16"/>
        <v>0</v>
      </c>
      <c r="X27" s="157">
        <f t="shared" si="16"/>
        <v>0</v>
      </c>
      <c r="Y27" s="157">
        <f t="shared" si="16"/>
        <v>0</v>
      </c>
      <c r="Z27" s="157">
        <f t="shared" si="16"/>
        <v>0</v>
      </c>
      <c r="AA27" s="157">
        <f t="shared" si="16"/>
        <v>0</v>
      </c>
      <c r="AB27" s="157">
        <f t="shared" si="16"/>
        <v>0</v>
      </c>
      <c r="AC27" s="157">
        <f t="shared" si="16"/>
        <v>0</v>
      </c>
      <c r="AD27" s="157">
        <f t="shared" si="16"/>
        <v>0</v>
      </c>
      <c r="AE27" s="157">
        <f t="shared" si="16"/>
        <v>0</v>
      </c>
      <c r="AF27" s="157">
        <f t="shared" si="16"/>
        <v>0</v>
      </c>
      <c r="AG27" s="157">
        <f t="shared" si="16"/>
        <v>0</v>
      </c>
      <c r="AH27" s="157">
        <f t="shared" si="16"/>
        <v>0</v>
      </c>
      <c r="AI27" s="157">
        <f t="shared" si="16"/>
        <v>0</v>
      </c>
      <c r="AJ27" s="157">
        <f t="shared" si="16"/>
        <v>0</v>
      </c>
      <c r="AK27" s="157">
        <f t="shared" si="16"/>
        <v>0</v>
      </c>
      <c r="AL27" s="240">
        <f t="shared" si="16"/>
        <v>0</v>
      </c>
      <c r="AM27" s="51"/>
      <c r="AN27" s="50"/>
      <c r="AQ27" s="170">
        <v>22</v>
      </c>
    </row>
    <row r="28" spans="1:43" ht="15.6">
      <c r="A28" s="57" t="s">
        <v>12</v>
      </c>
      <c r="B28" s="60"/>
      <c r="C28" s="593">
        <v>8.9300000000000004E-2</v>
      </c>
      <c r="D28" s="155"/>
      <c r="E28" s="467"/>
      <c r="F28" s="468"/>
      <c r="G28" s="552" t="s">
        <v>26</v>
      </c>
      <c r="H28" s="418"/>
      <c r="I28" s="534">
        <f>-MAX(I25*$C$30,0)</f>
        <v>0</v>
      </c>
      <c r="J28" s="534">
        <f t="shared" ref="J28:AL28" si="17">-MAX(J25*$C$30,0)</f>
        <v>0</v>
      </c>
      <c r="K28" s="534">
        <f t="shared" si="17"/>
        <v>0</v>
      </c>
      <c r="L28" s="534">
        <f t="shared" si="17"/>
        <v>0</v>
      </c>
      <c r="M28" s="534">
        <f t="shared" si="17"/>
        <v>0</v>
      </c>
      <c r="N28" s="534">
        <f t="shared" si="17"/>
        <v>0</v>
      </c>
      <c r="O28" s="534">
        <f t="shared" si="17"/>
        <v>-6172128.7170178611</v>
      </c>
      <c r="P28" s="534">
        <f t="shared" si="17"/>
        <v>-6509016.2384431446</v>
      </c>
      <c r="Q28" s="534">
        <f t="shared" si="17"/>
        <v>-6857759.8793911003</v>
      </c>
      <c r="R28" s="534">
        <f t="shared" si="17"/>
        <v>-7218850.4066542713</v>
      </c>
      <c r="S28" s="534">
        <f t="shared" si="17"/>
        <v>-7592801.5212519346</v>
      </c>
      <c r="T28" s="534">
        <f t="shared" si="17"/>
        <v>-7980151.0097011803</v>
      </c>
      <c r="U28" s="534">
        <f t="shared" si="17"/>
        <v>-8381461.9552225256</v>
      </c>
      <c r="V28" s="534">
        <f t="shared" si="17"/>
        <v>-8797324.0120541174</v>
      </c>
      <c r="W28" s="534">
        <f t="shared" si="17"/>
        <v>-9228354.7462177705</v>
      </c>
      <c r="X28" s="534">
        <f t="shared" si="17"/>
        <v>-9675201.0462587997</v>
      </c>
      <c r="Y28" s="534">
        <f t="shared" si="17"/>
        <v>-10138540.607669426</v>
      </c>
      <c r="Z28" s="534">
        <f t="shared" si="17"/>
        <v>-10619083.494903695</v>
      </c>
      <c r="AA28" s="534">
        <f t="shared" si="17"/>
        <v>-11117573.785100602</v>
      </c>
      <c r="AB28" s="534">
        <f t="shared" si="17"/>
        <v>-11634791.297851885</v>
      </c>
      <c r="AC28" s="534">
        <f t="shared" si="17"/>
        <v>0</v>
      </c>
      <c r="AD28" s="534">
        <f t="shared" si="17"/>
        <v>0</v>
      </c>
      <c r="AE28" s="534">
        <f t="shared" si="17"/>
        <v>0</v>
      </c>
      <c r="AF28" s="534">
        <f t="shared" si="17"/>
        <v>0</v>
      </c>
      <c r="AG28" s="534">
        <f t="shared" si="17"/>
        <v>0</v>
      </c>
      <c r="AH28" s="534">
        <f t="shared" si="17"/>
        <v>0</v>
      </c>
      <c r="AI28" s="534">
        <f t="shared" si="17"/>
        <v>0</v>
      </c>
      <c r="AJ28" s="534">
        <f t="shared" si="17"/>
        <v>0</v>
      </c>
      <c r="AK28" s="534">
        <f t="shared" si="17"/>
        <v>0</v>
      </c>
      <c r="AL28" s="465">
        <f t="shared" si="17"/>
        <v>0</v>
      </c>
      <c r="AM28" s="468"/>
      <c r="AN28" s="467"/>
      <c r="AQ28" s="170">
        <v>23</v>
      </c>
    </row>
    <row r="29" spans="1:43" ht="15.6">
      <c r="A29" s="53" t="s">
        <v>13</v>
      </c>
      <c r="B29" s="60"/>
      <c r="C29" s="228">
        <v>2.3E-2</v>
      </c>
      <c r="D29" s="171"/>
      <c r="E29" s="467"/>
      <c r="F29" s="468"/>
      <c r="G29" s="552" t="s">
        <v>141</v>
      </c>
      <c r="H29" s="418"/>
      <c r="I29" s="534">
        <f>I27</f>
        <v>6044400</v>
      </c>
      <c r="J29" s="534">
        <f>IF(J$6&gt;20,0,MAX(I29+J28+J27,0))</f>
        <v>12088800</v>
      </c>
      <c r="K29" s="534">
        <f t="shared" ref="K29:AL29" si="18">IF(K$6&gt;20,0,MAX(J29+K28+K27,0))</f>
        <v>18133200</v>
      </c>
      <c r="L29" s="534">
        <f t="shared" si="18"/>
        <v>24177600</v>
      </c>
      <c r="M29" s="534">
        <f t="shared" si="18"/>
        <v>30222000</v>
      </c>
      <c r="N29" s="534">
        <f t="shared" si="18"/>
        <v>36266400</v>
      </c>
      <c r="O29" s="534">
        <f t="shared" si="18"/>
        <v>36138671.282982141</v>
      </c>
      <c r="P29" s="534">
        <f t="shared" si="18"/>
        <v>35674055.044538997</v>
      </c>
      <c r="Q29" s="534">
        <f t="shared" si="18"/>
        <v>34860695.165147901</v>
      </c>
      <c r="R29" s="534">
        <f t="shared" si="18"/>
        <v>33686244.758493632</v>
      </c>
      <c r="S29" s="534">
        <f t="shared" si="18"/>
        <v>26093443.237241697</v>
      </c>
      <c r="T29" s="534">
        <f t="shared" si="18"/>
        <v>18113292.227540515</v>
      </c>
      <c r="U29" s="534">
        <f t="shared" si="18"/>
        <v>9731830.2723179907</v>
      </c>
      <c r="V29" s="534">
        <f t="shared" si="18"/>
        <v>934506.26026387326</v>
      </c>
      <c r="W29" s="534">
        <f t="shared" si="18"/>
        <v>0</v>
      </c>
      <c r="X29" s="534">
        <f t="shared" si="18"/>
        <v>0</v>
      </c>
      <c r="Y29" s="534">
        <f t="shared" si="18"/>
        <v>0</v>
      </c>
      <c r="Z29" s="534">
        <f t="shared" si="18"/>
        <v>0</v>
      </c>
      <c r="AA29" s="534">
        <f t="shared" si="18"/>
        <v>0</v>
      </c>
      <c r="AB29" s="534">
        <f t="shared" si="18"/>
        <v>0</v>
      </c>
      <c r="AC29" s="534">
        <f t="shared" si="18"/>
        <v>0</v>
      </c>
      <c r="AD29" s="534">
        <f t="shared" si="18"/>
        <v>0</v>
      </c>
      <c r="AE29" s="534">
        <f t="shared" si="18"/>
        <v>0</v>
      </c>
      <c r="AF29" s="534">
        <f t="shared" si="18"/>
        <v>0</v>
      </c>
      <c r="AG29" s="534">
        <f t="shared" si="18"/>
        <v>0</v>
      </c>
      <c r="AH29" s="534">
        <f t="shared" si="18"/>
        <v>0</v>
      </c>
      <c r="AI29" s="534">
        <f t="shared" si="18"/>
        <v>0</v>
      </c>
      <c r="AJ29" s="534">
        <f t="shared" si="18"/>
        <v>0</v>
      </c>
      <c r="AK29" s="534">
        <f t="shared" si="18"/>
        <v>0</v>
      </c>
      <c r="AL29" s="465">
        <f t="shared" si="18"/>
        <v>0</v>
      </c>
      <c r="AM29" s="468"/>
      <c r="AN29" s="467"/>
      <c r="AQ29" s="170">
        <v>24</v>
      </c>
    </row>
    <row r="30" spans="1:43" ht="15.6">
      <c r="A30" s="57" t="s">
        <v>14</v>
      </c>
      <c r="B30" s="60"/>
      <c r="C30" s="228">
        <v>0.45367499999999999</v>
      </c>
      <c r="D30" s="171"/>
      <c r="E30" s="50"/>
      <c r="F30" s="51"/>
      <c r="G30" s="552" t="s">
        <v>142</v>
      </c>
      <c r="H30" s="146"/>
      <c r="I30" s="160">
        <f>-MAX(MAX(I25*$AS$44-I29,0)+$AS$48*I25,0)</f>
        <v>0</v>
      </c>
      <c r="J30" s="160">
        <f t="shared" ref="J30:AL30" si="19">-MAX(MAX(J25*$AS$44-J29,0)+$AS$48*J25,0)</f>
        <v>0</v>
      </c>
      <c r="K30" s="160">
        <f t="shared" si="19"/>
        <v>0</v>
      </c>
      <c r="L30" s="160">
        <f t="shared" si="19"/>
        <v>0</v>
      </c>
      <c r="M30" s="160">
        <f t="shared" si="19"/>
        <v>0</v>
      </c>
      <c r="N30" s="160">
        <f t="shared" si="19"/>
        <v>0</v>
      </c>
      <c r="O30" s="160">
        <f t="shared" si="19"/>
        <v>-1410471.0304443196</v>
      </c>
      <c r="P30" s="160">
        <f t="shared" si="19"/>
        <v>-1487457.4497615979</v>
      </c>
      <c r="Q30" s="160">
        <f t="shared" si="19"/>
        <v>-1567153.2605849393</v>
      </c>
      <c r="R30" s="160">
        <f t="shared" si="19"/>
        <v>-1649670.614227986</v>
      </c>
      <c r="S30" s="160">
        <f t="shared" si="19"/>
        <v>-1735126.9029939808</v>
      </c>
      <c r="T30" s="160">
        <f t="shared" si="19"/>
        <v>-1823645.0232672503</v>
      </c>
      <c r="U30" s="160">
        <f t="shared" si="19"/>
        <v>-1915353.6523010861</v>
      </c>
      <c r="V30" s="160">
        <f t="shared" si="19"/>
        <v>-7862817.7517902423</v>
      </c>
      <c r="W30" s="160">
        <f t="shared" si="19"/>
        <v>-9228354.7462177705</v>
      </c>
      <c r="X30" s="160">
        <f t="shared" si="19"/>
        <v>-9675201.0462587979</v>
      </c>
      <c r="Y30" s="160">
        <f t="shared" si="19"/>
        <v>-10138540.607669424</v>
      </c>
      <c r="Z30" s="160">
        <f t="shared" si="19"/>
        <v>-10619083.494903695</v>
      </c>
      <c r="AA30" s="160">
        <f t="shared" si="19"/>
        <v>-11117573.785100602</v>
      </c>
      <c r="AB30" s="160">
        <f t="shared" si="19"/>
        <v>-11634791.297851885</v>
      </c>
      <c r="AC30" s="160">
        <f t="shared" si="19"/>
        <v>0</v>
      </c>
      <c r="AD30" s="160">
        <f t="shared" si="19"/>
        <v>0</v>
      </c>
      <c r="AE30" s="160">
        <f t="shared" si="19"/>
        <v>0</v>
      </c>
      <c r="AF30" s="160">
        <f t="shared" si="19"/>
        <v>0</v>
      </c>
      <c r="AG30" s="160">
        <f t="shared" si="19"/>
        <v>0</v>
      </c>
      <c r="AH30" s="160">
        <f t="shared" si="19"/>
        <v>0</v>
      </c>
      <c r="AI30" s="160">
        <f t="shared" si="19"/>
        <v>0</v>
      </c>
      <c r="AJ30" s="160">
        <f t="shared" si="19"/>
        <v>0</v>
      </c>
      <c r="AK30" s="160">
        <f t="shared" si="19"/>
        <v>0</v>
      </c>
      <c r="AL30" s="174">
        <f t="shared" si="19"/>
        <v>0</v>
      </c>
      <c r="AM30" s="51"/>
      <c r="AN30" s="50"/>
      <c r="AQ30" s="170">
        <v>25</v>
      </c>
    </row>
    <row r="31" spans="1:43" ht="15.6">
      <c r="A31" s="57" t="s">
        <v>98</v>
      </c>
      <c r="B31" s="60"/>
      <c r="C31" s="237">
        <v>10</v>
      </c>
      <c r="D31" s="171"/>
      <c r="E31" s="50"/>
      <c r="F31" s="51"/>
      <c r="G31" s="202" t="s">
        <v>27</v>
      </c>
      <c r="H31" s="149"/>
      <c r="I31" s="157">
        <f>I50</f>
        <v>-3925680.4275327437</v>
      </c>
      <c r="J31" s="144">
        <f t="shared" ref="J31:X31" si="20">J50</f>
        <v>-4136489.4664912522</v>
      </c>
      <c r="K31" s="144">
        <f t="shared" si="20"/>
        <v>-4358618.9508418329</v>
      </c>
      <c r="L31" s="144">
        <f t="shared" si="20"/>
        <v>-4592676.7885020394</v>
      </c>
      <c r="M31" s="144">
        <f t="shared" si="20"/>
        <v>-4839303.5320445979</v>
      </c>
      <c r="N31" s="144">
        <f t="shared" si="20"/>
        <v>-5099174.1317153936</v>
      </c>
      <c r="O31" s="144">
        <f t="shared" si="20"/>
        <v>-5372999.7825885098</v>
      </c>
      <c r="P31" s="144">
        <f t="shared" si="20"/>
        <v>-5661529.870913513</v>
      </c>
      <c r="Q31" s="144">
        <f t="shared" si="20"/>
        <v>-5965554.0249815686</v>
      </c>
      <c r="R31" s="144">
        <f t="shared" si="20"/>
        <v>-6285904.2761230795</v>
      </c>
      <c r="S31" s="62">
        <f t="shared" si="20"/>
        <v>-6623457.335750889</v>
      </c>
      <c r="T31" s="144">
        <f t="shared" si="20"/>
        <v>-6979136.994680712</v>
      </c>
      <c r="U31" s="144">
        <f t="shared" si="20"/>
        <v>-7353916.6512950659</v>
      </c>
      <c r="V31" s="144">
        <f t="shared" si="20"/>
        <v>-7748821.9754696116</v>
      </c>
      <c r="W31" s="62">
        <f t="shared" si="20"/>
        <v>-8164933.7155523291</v>
      </c>
      <c r="X31" s="62">
        <f t="shared" si="20"/>
        <v>-8603390.6560774893</v>
      </c>
      <c r="Y31" s="62">
        <f>Y50</f>
        <v>-9065392.73430885</v>
      </c>
      <c r="Z31" s="144">
        <f t="shared" ref="Z31:AL31" si="21">Z50</f>
        <v>-9552204.324141236</v>
      </c>
      <c r="AA31" s="144">
        <f t="shared" si="21"/>
        <v>-10065157.69634762</v>
      </c>
      <c r="AB31" s="144">
        <f t="shared" si="21"/>
        <v>-10605656.664641488</v>
      </c>
      <c r="AC31" s="144">
        <f t="shared" si="21"/>
        <v>0</v>
      </c>
      <c r="AD31" s="144">
        <f t="shared" si="21"/>
        <v>0</v>
      </c>
      <c r="AE31" s="144">
        <f t="shared" si="21"/>
        <v>0</v>
      </c>
      <c r="AF31" s="144">
        <f t="shared" si="21"/>
        <v>0</v>
      </c>
      <c r="AG31" s="144">
        <f t="shared" si="21"/>
        <v>0</v>
      </c>
      <c r="AH31" s="144">
        <f t="shared" si="21"/>
        <v>0</v>
      </c>
      <c r="AI31" s="62">
        <f t="shared" si="21"/>
        <v>0</v>
      </c>
      <c r="AJ31" s="144">
        <f t="shared" si="21"/>
        <v>0</v>
      </c>
      <c r="AK31" s="144">
        <f t="shared" si="21"/>
        <v>0</v>
      </c>
      <c r="AL31" s="75">
        <f t="shared" si="21"/>
        <v>0</v>
      </c>
      <c r="AM31" s="51"/>
      <c r="AN31" s="50"/>
      <c r="AQ31" s="170">
        <v>26</v>
      </c>
    </row>
    <row r="32" spans="1:43" ht="16.2" thickBot="1">
      <c r="A32" s="53" t="s">
        <v>75</v>
      </c>
      <c r="B32" s="60"/>
      <c r="C32" s="237">
        <v>20</v>
      </c>
      <c r="D32" s="171"/>
      <c r="E32" s="50"/>
      <c r="F32" s="51"/>
      <c r="G32" s="204" t="s">
        <v>40</v>
      </c>
      <c r="H32" s="161"/>
      <c r="I32" s="178">
        <f t="shared" ref="I32:AL32" si="22">I22+I23+I30+I31</f>
        <v>5654302.7724672556</v>
      </c>
      <c r="J32" s="179">
        <f t="shared" si="22"/>
        <v>6060811.4681744538</v>
      </c>
      <c r="K32" s="179">
        <f t="shared" si="22"/>
        <v>6477199.675247401</v>
      </c>
      <c r="L32" s="179">
        <f t="shared" si="22"/>
        <v>6903709.011974968</v>
      </c>
      <c r="M32" s="179">
        <f t="shared" si="22"/>
        <v>7340587.0433220817</v>
      </c>
      <c r="N32" s="179">
        <f t="shared" si="22"/>
        <v>7788087.4282113211</v>
      </c>
      <c r="O32" s="179">
        <f t="shared" si="22"/>
        <v>6821265.4343201444</v>
      </c>
      <c r="P32" s="179">
        <f t="shared" si="22"/>
        <v>7198323.5041293073</v>
      </c>
      <c r="Q32" s="179">
        <f t="shared" si="22"/>
        <v>7583311.6253082389</v>
      </c>
      <c r="R32" s="179">
        <f t="shared" si="22"/>
        <v>7976367.373724035</v>
      </c>
      <c r="S32" s="83">
        <f t="shared" si="22"/>
        <v>8377628.9562778547</v>
      </c>
      <c r="T32" s="179">
        <f t="shared" si="22"/>
        <v>8787235.0861489791</v>
      </c>
      <c r="U32" s="179">
        <f t="shared" si="22"/>
        <v>9205324.8476079609</v>
      </c>
      <c r="V32" s="179">
        <f t="shared" si="22"/>
        <v>3779607.3373880032</v>
      </c>
      <c r="W32" s="83">
        <f t="shared" si="22"/>
        <v>2948045.6347037433</v>
      </c>
      <c r="X32" s="83">
        <f t="shared" si="22"/>
        <v>3047690.4297159519</v>
      </c>
      <c r="Y32" s="83">
        <f t="shared" si="22"/>
        <v>3143651.6200968362</v>
      </c>
      <c r="Z32" s="179">
        <f t="shared" si="22"/>
        <v>3235519.9065376874</v>
      </c>
      <c r="AA32" s="179">
        <f t="shared" si="22"/>
        <v>3322859.0516439751</v>
      </c>
      <c r="AB32" s="179">
        <f t="shared" si="22"/>
        <v>3405204.3168958034</v>
      </c>
      <c r="AC32" s="179">
        <f t="shared" si="22"/>
        <v>0</v>
      </c>
      <c r="AD32" s="179">
        <f t="shared" si="22"/>
        <v>0</v>
      </c>
      <c r="AE32" s="179">
        <f t="shared" si="22"/>
        <v>0</v>
      </c>
      <c r="AF32" s="179">
        <f t="shared" si="22"/>
        <v>0</v>
      </c>
      <c r="AG32" s="179">
        <f t="shared" si="22"/>
        <v>0</v>
      </c>
      <c r="AH32" s="179">
        <f t="shared" si="22"/>
        <v>0</v>
      </c>
      <c r="AI32" s="83">
        <f t="shared" si="22"/>
        <v>0</v>
      </c>
      <c r="AJ32" s="179">
        <f t="shared" si="22"/>
        <v>0</v>
      </c>
      <c r="AK32" s="179">
        <f t="shared" si="22"/>
        <v>0</v>
      </c>
      <c r="AL32" s="66">
        <f t="shared" si="22"/>
        <v>0</v>
      </c>
      <c r="AM32" s="51"/>
      <c r="AN32" s="50"/>
      <c r="AQ32" s="170">
        <v>27</v>
      </c>
    </row>
    <row r="33" spans="1:45" ht="16.2" thickTop="1">
      <c r="A33" s="57" t="s">
        <v>44</v>
      </c>
      <c r="B33" s="163"/>
      <c r="C33" s="229" t="s">
        <v>45</v>
      </c>
      <c r="D33" s="171"/>
      <c r="E33" s="50"/>
      <c r="F33" s="51"/>
      <c r="G33" s="205"/>
      <c r="H33" s="162"/>
      <c r="I33" s="159"/>
      <c r="J33" s="143"/>
      <c r="K33" s="143"/>
      <c r="L33" s="143"/>
      <c r="M33" s="143"/>
      <c r="N33" s="143"/>
      <c r="O33" s="143"/>
      <c r="P33" s="143"/>
      <c r="Q33" s="143"/>
      <c r="R33" s="143"/>
      <c r="S33" s="78"/>
      <c r="T33" s="143"/>
      <c r="U33" s="143"/>
      <c r="V33" s="143"/>
      <c r="W33" s="78"/>
      <c r="X33" s="78"/>
      <c r="Y33" s="78"/>
      <c r="Z33" s="143"/>
      <c r="AA33" s="143"/>
      <c r="AB33" s="143"/>
      <c r="AC33" s="143"/>
      <c r="AD33" s="143"/>
      <c r="AE33" s="143"/>
      <c r="AF33" s="143"/>
      <c r="AG33" s="143"/>
      <c r="AH33" s="143"/>
      <c r="AI33" s="78"/>
      <c r="AJ33" s="143"/>
      <c r="AK33" s="143"/>
      <c r="AL33" s="84"/>
      <c r="AM33" s="51"/>
      <c r="AN33" s="50"/>
      <c r="AQ33" s="170">
        <v>28</v>
      </c>
    </row>
    <row r="34" spans="1:45" ht="15.6">
      <c r="A34" s="53" t="s">
        <v>15</v>
      </c>
      <c r="B34" s="60"/>
      <c r="C34" s="237">
        <v>5</v>
      </c>
      <c r="E34" s="50"/>
      <c r="F34" s="51"/>
      <c r="G34" s="202" t="s">
        <v>28</v>
      </c>
      <c r="H34" s="192"/>
      <c r="I34" s="142">
        <f t="shared" ref="I34:AL34" si="23">IF($C$21&lt;&gt;0,MAX((($C$21+1-I6)/$C$21),0),0)*($C$7*$C$8/100)*(IF(I6&gt;$C$32,0,$C$20))</f>
        <v>45337929.620000035</v>
      </c>
      <c r="J34" s="142">
        <f t="shared" si="23"/>
        <v>36270343.696000032</v>
      </c>
      <c r="K34" s="142">
        <f t="shared" si="23"/>
        <v>27202757.772000015</v>
      </c>
      <c r="L34" s="142">
        <f t="shared" si="23"/>
        <v>18135171.848000016</v>
      </c>
      <c r="M34" s="142">
        <f t="shared" si="23"/>
        <v>9067585.924000008</v>
      </c>
      <c r="N34" s="142">
        <f t="shared" si="23"/>
        <v>0</v>
      </c>
      <c r="O34" s="142">
        <f t="shared" si="23"/>
        <v>0</v>
      </c>
      <c r="P34" s="142">
        <f t="shared" si="23"/>
        <v>0</v>
      </c>
      <c r="Q34" s="142">
        <f t="shared" si="23"/>
        <v>0</v>
      </c>
      <c r="R34" s="142">
        <f t="shared" si="23"/>
        <v>0</v>
      </c>
      <c r="S34" s="142">
        <f t="shared" si="23"/>
        <v>0</v>
      </c>
      <c r="T34" s="142">
        <f t="shared" si="23"/>
        <v>0</v>
      </c>
      <c r="U34" s="142">
        <f t="shared" si="23"/>
        <v>0</v>
      </c>
      <c r="V34" s="142">
        <f t="shared" si="23"/>
        <v>0</v>
      </c>
      <c r="W34" s="142">
        <f t="shared" si="23"/>
        <v>0</v>
      </c>
      <c r="X34" s="142">
        <f t="shared" si="23"/>
        <v>0</v>
      </c>
      <c r="Y34" s="142">
        <f t="shared" si="23"/>
        <v>0</v>
      </c>
      <c r="Z34" s="142">
        <f t="shared" si="23"/>
        <v>0</v>
      </c>
      <c r="AA34" s="142">
        <f t="shared" si="23"/>
        <v>0</v>
      </c>
      <c r="AB34" s="142">
        <f t="shared" si="23"/>
        <v>0</v>
      </c>
      <c r="AC34" s="142">
        <f t="shared" si="23"/>
        <v>0</v>
      </c>
      <c r="AD34" s="142">
        <f t="shared" si="23"/>
        <v>0</v>
      </c>
      <c r="AE34" s="142">
        <f t="shared" si="23"/>
        <v>0</v>
      </c>
      <c r="AF34" s="142">
        <f t="shared" si="23"/>
        <v>0</v>
      </c>
      <c r="AG34" s="142">
        <f t="shared" si="23"/>
        <v>0</v>
      </c>
      <c r="AH34" s="142">
        <f t="shared" si="23"/>
        <v>0</v>
      </c>
      <c r="AI34" s="142">
        <f t="shared" si="23"/>
        <v>0</v>
      </c>
      <c r="AJ34" s="142">
        <f t="shared" si="23"/>
        <v>0</v>
      </c>
      <c r="AK34" s="142">
        <f t="shared" si="23"/>
        <v>0</v>
      </c>
      <c r="AL34" s="113">
        <f t="shared" si="23"/>
        <v>0</v>
      </c>
      <c r="AM34" s="51"/>
      <c r="AN34" s="50"/>
      <c r="AQ34" s="170">
        <v>29</v>
      </c>
    </row>
    <row r="35" spans="1:45" ht="15.6">
      <c r="A35" s="76" t="s">
        <v>4</v>
      </c>
      <c r="B35" s="90"/>
      <c r="C35" s="64"/>
      <c r="E35" s="50"/>
      <c r="F35" s="51"/>
      <c r="G35" s="173" t="s">
        <v>26</v>
      </c>
      <c r="H35" s="192"/>
      <c r="I35" s="142">
        <f>IF($C$23="NO",0,-I34*$C$30)</f>
        <v>-20568685.220353514</v>
      </c>
      <c r="J35" s="142">
        <f t="shared" ref="J35:AL35" si="24">IF($C$23="NO",0,-J34*$C$30)</f>
        <v>-16454948.176282814</v>
      </c>
      <c r="K35" s="142">
        <f t="shared" si="24"/>
        <v>-12341211.132212106</v>
      </c>
      <c r="L35" s="142">
        <f t="shared" si="24"/>
        <v>-8227474.0881414069</v>
      </c>
      <c r="M35" s="142">
        <f>IF($C$23="NO",0,-M34*$C$30)</f>
        <v>-4113737.0440707034</v>
      </c>
      <c r="N35" s="142">
        <f t="shared" si="24"/>
        <v>0</v>
      </c>
      <c r="O35" s="142">
        <f t="shared" si="24"/>
        <v>0</v>
      </c>
      <c r="P35" s="142">
        <f t="shared" si="24"/>
        <v>0</v>
      </c>
      <c r="Q35" s="142">
        <f t="shared" si="24"/>
        <v>0</v>
      </c>
      <c r="R35" s="142">
        <f t="shared" si="24"/>
        <v>0</v>
      </c>
      <c r="S35" s="142">
        <f t="shared" si="24"/>
        <v>0</v>
      </c>
      <c r="T35" s="142">
        <f t="shared" si="24"/>
        <v>0</v>
      </c>
      <c r="U35" s="142">
        <f t="shared" si="24"/>
        <v>0</v>
      </c>
      <c r="V35" s="142">
        <f t="shared" si="24"/>
        <v>0</v>
      </c>
      <c r="W35" s="142">
        <f t="shared" si="24"/>
        <v>0</v>
      </c>
      <c r="X35" s="142">
        <f t="shared" si="24"/>
        <v>0</v>
      </c>
      <c r="Y35" s="142">
        <f t="shared" si="24"/>
        <v>0</v>
      </c>
      <c r="Z35" s="142">
        <f t="shared" si="24"/>
        <v>0</v>
      </c>
      <c r="AA35" s="142">
        <f t="shared" si="24"/>
        <v>0</v>
      </c>
      <c r="AB35" s="142">
        <f t="shared" si="24"/>
        <v>0</v>
      </c>
      <c r="AC35" s="142">
        <f t="shared" si="24"/>
        <v>0</v>
      </c>
      <c r="AD35" s="142">
        <f t="shared" si="24"/>
        <v>0</v>
      </c>
      <c r="AE35" s="142">
        <f t="shared" si="24"/>
        <v>0</v>
      </c>
      <c r="AF35" s="142">
        <f t="shared" si="24"/>
        <v>0</v>
      </c>
      <c r="AG35" s="142">
        <f t="shared" si="24"/>
        <v>0</v>
      </c>
      <c r="AH35" s="142">
        <f t="shared" si="24"/>
        <v>0</v>
      </c>
      <c r="AI35" s="142">
        <f t="shared" si="24"/>
        <v>0</v>
      </c>
      <c r="AJ35" s="142">
        <f t="shared" si="24"/>
        <v>0</v>
      </c>
      <c r="AK35" s="142">
        <f t="shared" si="24"/>
        <v>0</v>
      </c>
      <c r="AL35" s="113">
        <f t="shared" si="24"/>
        <v>0</v>
      </c>
      <c r="AM35" s="51"/>
      <c r="AN35" s="50"/>
      <c r="AQ35" s="170">
        <v>30</v>
      </c>
    </row>
    <row r="36" spans="1:45" ht="16.2" thickBot="1">
      <c r="A36" s="57" t="s">
        <v>5</v>
      </c>
      <c r="B36" s="153" t="s">
        <v>89</v>
      </c>
      <c r="C36" s="225">
        <f>2%*C6</f>
        <v>5400000</v>
      </c>
      <c r="D36" s="168"/>
      <c r="E36" s="50"/>
      <c r="F36" s="51"/>
      <c r="G36" s="204" t="s">
        <v>41</v>
      </c>
      <c r="H36" s="161"/>
      <c r="I36" s="180">
        <f>I34+I32+I35</f>
        <v>30423547.172113776</v>
      </c>
      <c r="J36" s="181">
        <f t="shared" ref="J36:AL36" si="25">J34+J32+J35</f>
        <v>25876206.987891667</v>
      </c>
      <c r="K36" s="181">
        <f t="shared" si="25"/>
        <v>21338746.31503531</v>
      </c>
      <c r="L36" s="181">
        <f t="shared" si="25"/>
        <v>16811406.771833576</v>
      </c>
      <c r="M36" s="181">
        <f t="shared" si="25"/>
        <v>12294435.923251385</v>
      </c>
      <c r="N36" s="181">
        <f>N34+N32+N35</f>
        <v>7788087.4282113211</v>
      </c>
      <c r="O36" s="181">
        <f t="shared" si="25"/>
        <v>6821265.4343201444</v>
      </c>
      <c r="P36" s="181">
        <f t="shared" si="25"/>
        <v>7198323.5041293073</v>
      </c>
      <c r="Q36" s="181">
        <f t="shared" si="25"/>
        <v>7583311.6253082389</v>
      </c>
      <c r="R36" s="181">
        <f t="shared" si="25"/>
        <v>7976367.373724035</v>
      </c>
      <c r="S36" s="80">
        <f t="shared" si="25"/>
        <v>8377628.9562778547</v>
      </c>
      <c r="T36" s="181">
        <f t="shared" si="25"/>
        <v>8787235.0861489791</v>
      </c>
      <c r="U36" s="181">
        <f t="shared" si="25"/>
        <v>9205324.8476079609</v>
      </c>
      <c r="V36" s="181">
        <f t="shared" si="25"/>
        <v>3779607.3373880032</v>
      </c>
      <c r="W36" s="80">
        <f t="shared" si="25"/>
        <v>2948045.6347037433</v>
      </c>
      <c r="X36" s="80">
        <f t="shared" si="25"/>
        <v>3047690.4297159519</v>
      </c>
      <c r="Y36" s="80">
        <f t="shared" si="25"/>
        <v>3143651.6200968362</v>
      </c>
      <c r="Z36" s="181">
        <f t="shared" si="25"/>
        <v>3235519.9065376874</v>
      </c>
      <c r="AA36" s="181">
        <f t="shared" si="25"/>
        <v>3322859.0516439751</v>
      </c>
      <c r="AB36" s="181">
        <f t="shared" si="25"/>
        <v>3405204.3168958034</v>
      </c>
      <c r="AC36" s="181">
        <f t="shared" si="25"/>
        <v>0</v>
      </c>
      <c r="AD36" s="181">
        <f t="shared" si="25"/>
        <v>0</v>
      </c>
      <c r="AE36" s="181">
        <f t="shared" si="25"/>
        <v>0</v>
      </c>
      <c r="AF36" s="181">
        <f t="shared" si="25"/>
        <v>0</v>
      </c>
      <c r="AG36" s="181">
        <f t="shared" si="25"/>
        <v>0</v>
      </c>
      <c r="AH36" s="181">
        <f t="shared" si="25"/>
        <v>0</v>
      </c>
      <c r="AI36" s="80">
        <f t="shared" si="25"/>
        <v>0</v>
      </c>
      <c r="AJ36" s="181">
        <f t="shared" si="25"/>
        <v>0</v>
      </c>
      <c r="AK36" s="181">
        <f t="shared" si="25"/>
        <v>0</v>
      </c>
      <c r="AL36" s="79">
        <f t="shared" si="25"/>
        <v>0</v>
      </c>
      <c r="AM36" s="51"/>
      <c r="AN36" s="50"/>
    </row>
    <row r="37" spans="1:45" ht="16.2" thickTop="1">
      <c r="A37" s="57" t="s">
        <v>6</v>
      </c>
      <c r="B37" s="153" t="s">
        <v>89</v>
      </c>
      <c r="C37" s="225">
        <v>0</v>
      </c>
      <c r="D37" s="168"/>
      <c r="E37" s="50"/>
      <c r="F37" s="51"/>
      <c r="G37" s="205"/>
      <c r="H37" s="162"/>
      <c r="I37" s="160"/>
      <c r="J37" s="142"/>
      <c r="K37" s="142"/>
      <c r="L37" s="142"/>
      <c r="M37" s="142"/>
      <c r="N37" s="142"/>
      <c r="O37" s="142"/>
      <c r="P37" s="142"/>
      <c r="Q37" s="142"/>
      <c r="R37" s="142"/>
      <c r="S37" s="71"/>
      <c r="T37" s="142"/>
      <c r="U37" s="142"/>
      <c r="V37" s="142"/>
      <c r="W37" s="71"/>
      <c r="X37" s="71"/>
      <c r="Y37" s="71"/>
      <c r="Z37" s="142"/>
      <c r="AA37" s="142"/>
      <c r="AB37" s="142"/>
      <c r="AC37" s="142"/>
      <c r="AD37" s="142"/>
      <c r="AE37" s="142"/>
      <c r="AF37" s="142"/>
      <c r="AG37" s="142"/>
      <c r="AH37" s="142"/>
      <c r="AI37" s="71"/>
      <c r="AJ37" s="142"/>
      <c r="AK37" s="142"/>
      <c r="AL37" s="113"/>
      <c r="AM37" s="51"/>
      <c r="AN37" s="50"/>
    </row>
    <row r="38" spans="1:45" ht="16.2" thickBot="1">
      <c r="A38" s="57" t="s">
        <v>7</v>
      </c>
      <c r="B38" s="153" t="s">
        <v>89</v>
      </c>
      <c r="C38" s="225">
        <v>0</v>
      </c>
      <c r="D38" s="168"/>
      <c r="E38" s="50"/>
      <c r="F38" s="51"/>
      <c r="G38" s="202" t="s">
        <v>38</v>
      </c>
      <c r="H38" s="193"/>
      <c r="I38" s="172">
        <f t="shared" ref="I38:AL38" si="26">IF(I6&gt;$C$32,0,(I32)/(1+$C$28)^(I6-0.5))</f>
        <v>5417579.6892581051</v>
      </c>
      <c r="J38" s="172">
        <f t="shared" si="26"/>
        <v>5331010.2715461003</v>
      </c>
      <c r="K38" s="172">
        <f t="shared" si="26"/>
        <v>5230202.7696545357</v>
      </c>
      <c r="L38" s="172">
        <f t="shared" si="26"/>
        <v>5117598.554908229</v>
      </c>
      <c r="M38" s="172">
        <f t="shared" si="26"/>
        <v>4995362.6976391589</v>
      </c>
      <c r="N38" s="172">
        <f t="shared" si="26"/>
        <v>4865411.1742889602</v>
      </c>
      <c r="O38" s="172">
        <f t="shared" si="26"/>
        <v>3912066.0246899081</v>
      </c>
      <c r="P38" s="172">
        <f t="shared" si="26"/>
        <v>3789876.7222835151</v>
      </c>
      <c r="Q38" s="172">
        <f t="shared" si="26"/>
        <v>3665262.8261563871</v>
      </c>
      <c r="R38" s="172">
        <f t="shared" si="26"/>
        <v>3539189.8834897345</v>
      </c>
      <c r="S38" s="172">
        <f t="shared" si="26"/>
        <v>3412497.4339837469</v>
      </c>
      <c r="T38" s="172">
        <f t="shared" si="26"/>
        <v>3285912.189975535</v>
      </c>
      <c r="U38" s="172">
        <f t="shared" si="26"/>
        <v>3160059.9630803959</v>
      </c>
      <c r="V38" s="172">
        <f t="shared" si="26"/>
        <v>1191119.6365156283</v>
      </c>
      <c r="W38" s="172">
        <f t="shared" si="26"/>
        <v>852894.66786453302</v>
      </c>
      <c r="X38" s="172">
        <f t="shared" si="26"/>
        <v>809439.78177819343</v>
      </c>
      <c r="Y38" s="172">
        <f t="shared" si="26"/>
        <v>766479.60178021807</v>
      </c>
      <c r="Z38" s="172">
        <f t="shared" si="26"/>
        <v>724207.07389382005</v>
      </c>
      <c r="AA38" s="172">
        <f t="shared" si="26"/>
        <v>682783.63387102599</v>
      </c>
      <c r="AB38" s="172">
        <f t="shared" si="26"/>
        <v>642342.79107211204</v>
      </c>
      <c r="AC38" s="172">
        <f t="shared" si="26"/>
        <v>0</v>
      </c>
      <c r="AD38" s="172">
        <f t="shared" si="26"/>
        <v>0</v>
      </c>
      <c r="AE38" s="172">
        <f t="shared" si="26"/>
        <v>0</v>
      </c>
      <c r="AF38" s="172">
        <f t="shared" si="26"/>
        <v>0</v>
      </c>
      <c r="AG38" s="172">
        <f t="shared" si="26"/>
        <v>0</v>
      </c>
      <c r="AH38" s="172">
        <f t="shared" si="26"/>
        <v>0</v>
      </c>
      <c r="AI38" s="172">
        <f t="shared" si="26"/>
        <v>0</v>
      </c>
      <c r="AJ38" s="172">
        <f t="shared" si="26"/>
        <v>0</v>
      </c>
      <c r="AK38" s="172">
        <f t="shared" si="26"/>
        <v>0</v>
      </c>
      <c r="AL38" s="175">
        <f t="shared" si="26"/>
        <v>0</v>
      </c>
      <c r="AM38" s="51"/>
      <c r="AN38" s="50"/>
      <c r="AQ38" s="170" t="s">
        <v>99</v>
      </c>
    </row>
    <row r="39" spans="1:45" ht="16.8" thickTop="1" thickBot="1">
      <c r="A39" s="474" t="s">
        <v>139</v>
      </c>
      <c r="B39" s="153" t="s">
        <v>89</v>
      </c>
      <c r="C39" s="225">
        <v>0</v>
      </c>
      <c r="E39" s="50"/>
      <c r="F39" s="51"/>
      <c r="G39" s="202" t="s">
        <v>39</v>
      </c>
      <c r="H39" s="193"/>
      <c r="I39" s="172">
        <f t="shared" ref="I39:AL39" si="27">IF(I6&gt;$C$32,0,(I36)/(1+$C$28)^(I6-0.5))</f>
        <v>29149834.713026758</v>
      </c>
      <c r="J39" s="172">
        <f t="shared" si="27"/>
        <v>22760372.264582839</v>
      </c>
      <c r="K39" s="172">
        <f t="shared" si="27"/>
        <v>17230589.710605197</v>
      </c>
      <c r="L39" s="172">
        <f t="shared" si="27"/>
        <v>12462001.34627312</v>
      </c>
      <c r="M39" s="172">
        <f t="shared" si="27"/>
        <v>8366519.7670254121</v>
      </c>
      <c r="N39" s="172">
        <f t="shared" si="27"/>
        <v>4865411.1742889602</v>
      </c>
      <c r="O39" s="172">
        <f t="shared" si="27"/>
        <v>3912066.0246899081</v>
      </c>
      <c r="P39" s="172">
        <f t="shared" si="27"/>
        <v>3789876.7222835151</v>
      </c>
      <c r="Q39" s="172">
        <f t="shared" si="27"/>
        <v>3665262.8261563871</v>
      </c>
      <c r="R39" s="172">
        <f t="shared" si="27"/>
        <v>3539189.8834897345</v>
      </c>
      <c r="S39" s="172">
        <f t="shared" si="27"/>
        <v>3412497.4339837469</v>
      </c>
      <c r="T39" s="172">
        <f t="shared" si="27"/>
        <v>3285912.189975535</v>
      </c>
      <c r="U39" s="172">
        <f t="shared" si="27"/>
        <v>3160059.9630803959</v>
      </c>
      <c r="V39" s="172">
        <f t="shared" si="27"/>
        <v>1191119.6365156283</v>
      </c>
      <c r="W39" s="172">
        <f t="shared" si="27"/>
        <v>852894.66786453302</v>
      </c>
      <c r="X39" s="172">
        <f t="shared" si="27"/>
        <v>809439.78177819343</v>
      </c>
      <c r="Y39" s="172">
        <f t="shared" si="27"/>
        <v>766479.60178021807</v>
      </c>
      <c r="Z39" s="172">
        <f t="shared" si="27"/>
        <v>724207.07389382005</v>
      </c>
      <c r="AA39" s="172">
        <f t="shared" si="27"/>
        <v>682783.63387102599</v>
      </c>
      <c r="AB39" s="172">
        <f t="shared" si="27"/>
        <v>642342.79107211204</v>
      </c>
      <c r="AC39" s="172">
        <f t="shared" si="27"/>
        <v>0</v>
      </c>
      <c r="AD39" s="172">
        <f t="shared" si="27"/>
        <v>0</v>
      </c>
      <c r="AE39" s="172">
        <f t="shared" si="27"/>
        <v>0</v>
      </c>
      <c r="AF39" s="172">
        <f t="shared" si="27"/>
        <v>0</v>
      </c>
      <c r="AG39" s="172">
        <f t="shared" si="27"/>
        <v>0</v>
      </c>
      <c r="AH39" s="172">
        <f t="shared" si="27"/>
        <v>0</v>
      </c>
      <c r="AI39" s="172">
        <f t="shared" si="27"/>
        <v>0</v>
      </c>
      <c r="AJ39" s="172">
        <f t="shared" si="27"/>
        <v>0</v>
      </c>
      <c r="AK39" s="172">
        <f t="shared" si="27"/>
        <v>0</v>
      </c>
      <c r="AL39" s="175">
        <f t="shared" si="27"/>
        <v>0</v>
      </c>
      <c r="AM39" s="51"/>
      <c r="AN39" s="50"/>
      <c r="AQ39" s="122">
        <f>'ICAP Price&amp;Impact'!N50</f>
        <v>-1.3191E-2</v>
      </c>
    </row>
    <row r="40" spans="1:45" ht="16.8" thickTop="1" thickBot="1">
      <c r="A40" s="76" t="s">
        <v>35</v>
      </c>
      <c r="B40" s="123"/>
      <c r="C40" s="152"/>
      <c r="E40" s="50"/>
      <c r="F40" s="51"/>
      <c r="G40" s="206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61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233"/>
      <c r="AM40" s="51"/>
      <c r="AN40" s="50"/>
    </row>
    <row r="41" spans="1:45" ht="16.2" thickBot="1">
      <c r="A41" s="57" t="s">
        <v>90</v>
      </c>
      <c r="B41" s="140"/>
      <c r="C41" s="228">
        <f>((1+C27)/(1+C$29))-1</f>
        <v>3.0009775171065733E-2</v>
      </c>
      <c r="D41" s="157"/>
      <c r="E41" s="50"/>
      <c r="F41" s="51"/>
      <c r="G41" s="68" t="s">
        <v>24</v>
      </c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4"/>
      <c r="AM41" s="51"/>
      <c r="AN41" s="50"/>
    </row>
    <row r="42" spans="1:45" ht="15.6">
      <c r="A42" s="57" t="s">
        <v>91</v>
      </c>
      <c r="B42" s="140"/>
      <c r="C42" s="228">
        <f>((1+C28)/(1+C$29))-1</f>
        <v>6.4809384164222994E-2</v>
      </c>
      <c r="E42" s="50"/>
      <c r="F42" s="51"/>
      <c r="G42" s="214" t="s">
        <v>43</v>
      </c>
      <c r="H42" s="210"/>
      <c r="I42" s="215">
        <f>IF($C$33="MACRS",VLOOKUP($C$34,'Depreciation Tables'!$B$35:$AF$40,I6+1),IF($C$33="StraightLine",VLOOKUP($C$34,'Depreciation Tables'!$B$3:$AF$32,I6+1),VLOOKUP($C$34,'Depreciation Tables'!$B$43:$AF$44,I6+1)))</f>
        <v>0.2</v>
      </c>
      <c r="J42" s="215">
        <f>IF($C$33="MACRS",VLOOKUP($C$34,'Depreciation Tables'!$B$35:$AF$40,J6+1),IF($C$33="StraightLine",VLOOKUP($C$34,'Depreciation Tables'!$B$3:$AF$32,J6+1),VLOOKUP($C$34,'Depreciation Tables'!$B$43:$AF$44,J6+1)))</f>
        <v>0.32</v>
      </c>
      <c r="K42" s="215">
        <f>IF($C$33="MACRS",VLOOKUP($C$34,'Depreciation Tables'!$B$35:$AF$40,K6+1),IF($C$33="StraightLine",VLOOKUP($C$34,'Depreciation Tables'!$B$3:$AF$32,K6+1),VLOOKUP($C$34,'Depreciation Tables'!$B$43:$AF$44,K6+1)))</f>
        <v>0.192</v>
      </c>
      <c r="L42" s="215">
        <f>IF($C$33="MACRS",VLOOKUP($C$34,'Depreciation Tables'!$B$35:$AF$40,L6+1),IF($C$33="StraightLine",VLOOKUP($C$34,'Depreciation Tables'!$B$3:$AF$32,L6+1),VLOOKUP($C$34,'Depreciation Tables'!$B$43:$AF$44,L6+1)))</f>
        <v>0.1152</v>
      </c>
      <c r="M42" s="215">
        <f>IF($C$33="MACRS",VLOOKUP($C$34,'Depreciation Tables'!$B$35:$AF$40,M6+1),IF($C$33="StraightLine",VLOOKUP($C$34,'Depreciation Tables'!$B$3:$AF$32,M6+1),VLOOKUP($C$34,'Depreciation Tables'!$B$43:$AF$44,M6+1)))</f>
        <v>0.1152</v>
      </c>
      <c r="N42" s="215">
        <f>IF($C$33="MACRS",VLOOKUP($C$34,'Depreciation Tables'!$B$35:$AF$40,N6+1),IF($C$33="StraightLine",VLOOKUP($C$34,'Depreciation Tables'!$B$3:$AF$32,N6+1),VLOOKUP($C$34,'Depreciation Tables'!$B$43:$AF$44,N6+1)))</f>
        <v>5.7599999999999998E-2</v>
      </c>
      <c r="O42" s="215">
        <f>IF($C$33="MACRS",VLOOKUP($C$34,'Depreciation Tables'!$B$35:$AF$40,O6+1),IF($C$33="StraightLine",VLOOKUP($C$34,'Depreciation Tables'!$B$3:$AF$32,O6+1),VLOOKUP($C$34,'Depreciation Tables'!$B$43:$AF$44,O6+1)))</f>
        <v>0</v>
      </c>
      <c r="P42" s="215">
        <f>IF($C$33="MACRS",VLOOKUP($C$34,'Depreciation Tables'!$B$35:$AF$40,P6+1),IF($C$33="StraightLine",VLOOKUP($C$34,'Depreciation Tables'!$B$3:$AF$32,P6+1),VLOOKUP($C$34,'Depreciation Tables'!$B$43:$AF$44,P6+1)))</f>
        <v>0</v>
      </c>
      <c r="Q42" s="215">
        <f>IF($C$33="MACRS",VLOOKUP($C$34,'Depreciation Tables'!$B$35:$AF$40,Q6+1),IF($C$33="StraightLine",VLOOKUP($C$34,'Depreciation Tables'!$B$3:$AF$32,Q6+1),VLOOKUP($C$34,'Depreciation Tables'!$B$43:$AF$44,Q6+1)))</f>
        <v>0</v>
      </c>
      <c r="R42" s="215">
        <f>IF($C$33="MACRS",VLOOKUP($C$34,'Depreciation Tables'!$B$35:$AF$40,R6+1),IF($C$33="StraightLine",VLOOKUP($C$34,'Depreciation Tables'!$B$3:$AF$32,R6+1),VLOOKUP($C$34,'Depreciation Tables'!$B$43:$AF$44,R6+1)))</f>
        <v>0</v>
      </c>
      <c r="S42" s="215">
        <f>IF($C$33="MACRS",VLOOKUP($C$34,'Depreciation Tables'!$B$35:$AF$40,S6+1),IF($C$33="StraightLine",VLOOKUP($C$34,'Depreciation Tables'!$B$3:$AF$32,S6+1),VLOOKUP($C$34,'Depreciation Tables'!$B$43:$AF$44,S6+1)))</f>
        <v>0</v>
      </c>
      <c r="T42" s="215">
        <f>IF($C$33="MACRS",VLOOKUP($C$34,'Depreciation Tables'!$B$35:$AF$40,T6+1),IF($C$33="StraightLine",VLOOKUP($C$34,'Depreciation Tables'!$B$3:$AF$32,T6+1),VLOOKUP($C$34,'Depreciation Tables'!$B$43:$AF$44,T6+1)))</f>
        <v>0</v>
      </c>
      <c r="U42" s="215">
        <f>IF($C$33="MACRS",VLOOKUP($C$34,'Depreciation Tables'!$B$35:$AF$40,U6+1),IF($C$33="StraightLine",VLOOKUP($C$34,'Depreciation Tables'!$B$3:$AF$32,U6+1),VLOOKUP($C$34,'Depreciation Tables'!$B$43:$AF$44,U6+1)))</f>
        <v>0</v>
      </c>
      <c r="V42" s="215">
        <f>IF($C$33="MACRS",VLOOKUP($C$34,'Depreciation Tables'!$B$35:$AF$40,V6+1),IF($C$33="StraightLine",VLOOKUP($C$34,'Depreciation Tables'!$B$3:$AF$32,V6+1),VLOOKUP($C$34,'Depreciation Tables'!$B$43:$AF$44,V6+1)))</f>
        <v>0</v>
      </c>
      <c r="W42" s="215">
        <f>IF($C$33="MACRS",VLOOKUP($C$34,'Depreciation Tables'!$B$35:$AF$40,W6+1),IF($C$33="StraightLine",VLOOKUP($C$34,'Depreciation Tables'!$B$3:$AF$32,W6+1),VLOOKUP($C$34,'Depreciation Tables'!$B$43:$AF$44,W6+1)))</f>
        <v>0</v>
      </c>
      <c r="X42" s="215">
        <f>IF($C$33="MACRS",VLOOKUP($C$34,'Depreciation Tables'!$B$35:$AF$40,X6+1),IF($C$33="StraightLine",VLOOKUP($C$34,'Depreciation Tables'!$B$3:$AF$32,X6+1),VLOOKUP($C$34,'Depreciation Tables'!$B$43:$AF$44,X6+1)))</f>
        <v>0</v>
      </c>
      <c r="Y42" s="215">
        <f>IF($C$33="MACRS",VLOOKUP($C$34,'Depreciation Tables'!$B$35:$AF$40,Y6+1),IF($C$33="StraightLine",VLOOKUP($C$34,'Depreciation Tables'!$B$3:$AF$32,Y6+1),VLOOKUP($C$34,'Depreciation Tables'!$B$43:$AF$44,Y6+1)))</f>
        <v>0</v>
      </c>
      <c r="Z42" s="215">
        <f>IF($C$33="MACRS",VLOOKUP($C$34,'Depreciation Tables'!$B$35:$AF$40,Z6+1),IF($C$33="StraightLine",VLOOKUP($C$34,'Depreciation Tables'!$B$3:$AF$32,Z6+1),VLOOKUP($C$34,'Depreciation Tables'!$B$43:$AF$44,Z6+1)))</f>
        <v>0</v>
      </c>
      <c r="AA42" s="215">
        <f>IF($C$33="MACRS",VLOOKUP($C$34,'Depreciation Tables'!$B$35:$AF$40,AA6+1),IF($C$33="StraightLine",VLOOKUP($C$34,'Depreciation Tables'!$B$3:$AF$32,AA6+1),VLOOKUP($C$34,'Depreciation Tables'!$B$43:$AF$44,AA6+1)))</f>
        <v>0</v>
      </c>
      <c r="AB42" s="215">
        <f>IF($C$33="MACRS",VLOOKUP($C$34,'Depreciation Tables'!$B$35:$AF$40,AB6+1),IF($C$33="StraightLine",VLOOKUP($C$34,'Depreciation Tables'!$B$3:$AF$32,AB6+1),VLOOKUP($C$34,'Depreciation Tables'!$B$43:$AF$44,AB6+1)))</f>
        <v>0</v>
      </c>
      <c r="AC42" s="215">
        <f>IF($C$33="MACRS",VLOOKUP($C$34,'Depreciation Tables'!$B$35:$AF$40,AC6+1),IF($C$33="StraightLine",VLOOKUP($C$34,'Depreciation Tables'!$B$3:$AF$32,AC6+1),VLOOKUP($C$34,'Depreciation Tables'!$B$43:$AF$44,AC6+1)))</f>
        <v>0</v>
      </c>
      <c r="AD42" s="215">
        <f>IF($C$33="MACRS",VLOOKUP($C$34,'Depreciation Tables'!$B$35:$AF$40,AD6+1),IF($C$33="StraightLine",VLOOKUP($C$34,'Depreciation Tables'!$B$3:$AF$32,AD6+1),VLOOKUP($C$34,'Depreciation Tables'!$B$43:$AF$44,AD6+1)))</f>
        <v>0</v>
      </c>
      <c r="AE42" s="215">
        <f>IF($C$33="MACRS",VLOOKUP($C$34,'Depreciation Tables'!$B$35:$AF$40,AE6+1),IF($C$33="StraightLine",VLOOKUP($C$34,'Depreciation Tables'!$B$3:$AF$32,AE6+1),VLOOKUP($C$34,'Depreciation Tables'!$B$43:$AF$44,AE6+1)))</f>
        <v>0</v>
      </c>
      <c r="AF42" s="215">
        <f>IF($C$33="MACRS",VLOOKUP($C$34,'Depreciation Tables'!$B$35:$AF$40,AF6+1),IF($C$33="StraightLine",VLOOKUP($C$34,'Depreciation Tables'!$B$3:$AF$32,AF6+1),VLOOKUP($C$34,'Depreciation Tables'!$B$43:$AF$44,AF6+1)))</f>
        <v>0</v>
      </c>
      <c r="AG42" s="215">
        <f>IF($C$33="MACRS",VLOOKUP($C$34,'Depreciation Tables'!$B$35:$AF$40,AG6+1),IF($C$33="StraightLine",VLOOKUP($C$34,'Depreciation Tables'!$B$3:$AF$32,AG6+1),VLOOKUP($C$34,'Depreciation Tables'!$B$43:$AF$44,AG6+1)))</f>
        <v>0</v>
      </c>
      <c r="AH42" s="215">
        <f>IF($C$33="MACRS",VLOOKUP($C$34,'Depreciation Tables'!$B$35:$AF$40,AH6+1),IF($C$33="StraightLine",VLOOKUP($C$34,'Depreciation Tables'!$B$3:$AF$32,AH6+1),VLOOKUP($C$34,'Depreciation Tables'!$B$43:$AF$44,AH6+1)))</f>
        <v>0</v>
      </c>
      <c r="AI42" s="215">
        <f>IF($C$33="MACRS",VLOOKUP($C$34,'Depreciation Tables'!$B$35:$AF$40,AI6+1),IF($C$33="StraightLine",VLOOKUP($C$34,'Depreciation Tables'!$B$3:$AF$32,AI6+1),VLOOKUP($C$34,'Depreciation Tables'!$B$43:$AF$44,AI6+1)))</f>
        <v>0</v>
      </c>
      <c r="AJ42" s="215">
        <f>IF($C$33="MACRS",VLOOKUP($C$34,'Depreciation Tables'!$B$35:$AF$40,AJ6+1),IF($C$33="StraightLine",VLOOKUP($C$34,'Depreciation Tables'!$B$3:$AF$32,AJ6+1),VLOOKUP($C$34,'Depreciation Tables'!$B$43:$AF$44,AJ6+1)))</f>
        <v>0</v>
      </c>
      <c r="AK42" s="215">
        <f>IF($C$33="MACRS",VLOOKUP($C$34,'Depreciation Tables'!$B$35:$AF$40,AK6+1),IF($C$33="StraightLine",VLOOKUP($C$34,'Depreciation Tables'!$B$3:$AF$32,AK6+1),VLOOKUP($C$34,'Depreciation Tables'!$B$43:$AF$44,AK6+1)))</f>
        <v>0</v>
      </c>
      <c r="AL42" s="116">
        <f>IF($C$33="MACRS",VLOOKUP($C$34,'Depreciation Tables'!$B$35:$AF$40,AL6+1),IF($C$33="StraightLine",VLOOKUP($C$34,'Depreciation Tables'!$B$3:$AF$32,AL6+1),VLOOKUP($C$34,'Depreciation Tables'!$B$43:$AF$44,AL6+1)))</f>
        <v>0</v>
      </c>
      <c r="AM42" s="51"/>
      <c r="AN42" s="50"/>
    </row>
    <row r="43" spans="1:45" ht="15.6">
      <c r="A43" s="57" t="s">
        <v>92</v>
      </c>
      <c r="B43" s="140"/>
      <c r="C43" s="228">
        <f>C25*C41+C26*C42</f>
        <v>4.7409579667644364E-2</v>
      </c>
      <c r="D43" s="157"/>
      <c r="E43" s="50"/>
      <c r="F43" s="51"/>
      <c r="G43" s="198" t="s">
        <v>30</v>
      </c>
      <c r="H43" s="150"/>
      <c r="I43" s="188">
        <f>C6</f>
        <v>270000000</v>
      </c>
      <c r="J43" s="188">
        <f>I45</f>
        <v>216000000</v>
      </c>
      <c r="K43" s="188">
        <f t="shared" ref="K43:R43" si="28">J45</f>
        <v>129600000</v>
      </c>
      <c r="L43" s="188">
        <f t="shared" si="28"/>
        <v>77760000</v>
      </c>
      <c r="M43" s="188">
        <f t="shared" si="28"/>
        <v>46656000</v>
      </c>
      <c r="N43" s="188">
        <f t="shared" si="28"/>
        <v>15552000</v>
      </c>
      <c r="O43" s="188">
        <f t="shared" si="28"/>
        <v>0</v>
      </c>
      <c r="P43" s="188">
        <f t="shared" si="28"/>
        <v>0</v>
      </c>
      <c r="Q43" s="188">
        <f t="shared" si="28"/>
        <v>0</v>
      </c>
      <c r="R43" s="188">
        <f t="shared" si="28"/>
        <v>0</v>
      </c>
      <c r="S43" s="188">
        <f t="shared" ref="S43:Y43" si="29">R45</f>
        <v>0</v>
      </c>
      <c r="T43" s="188">
        <f t="shared" si="29"/>
        <v>0</v>
      </c>
      <c r="U43" s="188">
        <f t="shared" si="29"/>
        <v>0</v>
      </c>
      <c r="V43" s="188">
        <f t="shared" si="29"/>
        <v>0</v>
      </c>
      <c r="W43" s="188">
        <f t="shared" si="29"/>
        <v>0</v>
      </c>
      <c r="X43" s="188">
        <f t="shared" si="29"/>
        <v>0</v>
      </c>
      <c r="Y43" s="188">
        <f t="shared" si="29"/>
        <v>0</v>
      </c>
      <c r="Z43" s="188">
        <f t="shared" ref="Z43:AG43" si="30">Y45</f>
        <v>0</v>
      </c>
      <c r="AA43" s="188">
        <f t="shared" si="30"/>
        <v>0</v>
      </c>
      <c r="AB43" s="188">
        <f t="shared" si="30"/>
        <v>0</v>
      </c>
      <c r="AC43" s="188">
        <f t="shared" si="30"/>
        <v>0</v>
      </c>
      <c r="AD43" s="188">
        <f t="shared" si="30"/>
        <v>0</v>
      </c>
      <c r="AE43" s="188">
        <f t="shared" si="30"/>
        <v>0</v>
      </c>
      <c r="AF43" s="188">
        <f t="shared" si="30"/>
        <v>0</v>
      </c>
      <c r="AG43" s="188">
        <f t="shared" si="30"/>
        <v>0</v>
      </c>
      <c r="AH43" s="188">
        <f>AG45</f>
        <v>0</v>
      </c>
      <c r="AI43" s="188">
        <f>AH45</f>
        <v>0</v>
      </c>
      <c r="AJ43" s="188">
        <f>AI45</f>
        <v>0</v>
      </c>
      <c r="AK43" s="188">
        <f>AJ45</f>
        <v>0</v>
      </c>
      <c r="AL43" s="117">
        <f>AK45</f>
        <v>0</v>
      </c>
      <c r="AM43" s="51"/>
      <c r="AN43" s="50"/>
    </row>
    <row r="44" spans="1:45" ht="15.6">
      <c r="A44" s="57" t="s">
        <v>36</v>
      </c>
      <c r="B44" s="153"/>
      <c r="C44" s="142">
        <f>PMT(C27,C32,(C25*C6))</f>
        <v>-11175180.427532744</v>
      </c>
      <c r="E44" s="50"/>
      <c r="F44" s="51"/>
      <c r="G44" s="198" t="s">
        <v>29</v>
      </c>
      <c r="H44" s="150"/>
      <c r="I44" s="160">
        <f>-MIN($I$43*I42,I43)</f>
        <v>-54000000</v>
      </c>
      <c r="J44" s="160">
        <f t="shared" ref="J44:AL44" si="31">-MIN($I$43*J42,J43)</f>
        <v>-86400000</v>
      </c>
      <c r="K44" s="160">
        <f t="shared" si="31"/>
        <v>-51840000</v>
      </c>
      <c r="L44" s="160">
        <f t="shared" si="31"/>
        <v>-31104000</v>
      </c>
      <c r="M44" s="160">
        <f t="shared" si="31"/>
        <v>-31104000</v>
      </c>
      <c r="N44" s="160">
        <f t="shared" si="31"/>
        <v>-15552000</v>
      </c>
      <c r="O44" s="160">
        <f t="shared" si="31"/>
        <v>0</v>
      </c>
      <c r="P44" s="160">
        <f t="shared" si="31"/>
        <v>0</v>
      </c>
      <c r="Q44" s="160">
        <f t="shared" si="31"/>
        <v>0</v>
      </c>
      <c r="R44" s="189">
        <f t="shared" si="31"/>
        <v>0</v>
      </c>
      <c r="S44" s="189">
        <f t="shared" si="31"/>
        <v>0</v>
      </c>
      <c r="T44" s="189">
        <f t="shared" si="31"/>
        <v>0</v>
      </c>
      <c r="U44" s="189">
        <f t="shared" si="31"/>
        <v>0</v>
      </c>
      <c r="V44" s="189">
        <f t="shared" si="31"/>
        <v>0</v>
      </c>
      <c r="W44" s="189">
        <f t="shared" si="31"/>
        <v>0</v>
      </c>
      <c r="X44" s="189">
        <f t="shared" si="31"/>
        <v>0</v>
      </c>
      <c r="Y44" s="189">
        <f t="shared" si="31"/>
        <v>0</v>
      </c>
      <c r="Z44" s="160">
        <f t="shared" si="31"/>
        <v>0</v>
      </c>
      <c r="AA44" s="160">
        <f t="shared" si="31"/>
        <v>0</v>
      </c>
      <c r="AB44" s="160">
        <f t="shared" si="31"/>
        <v>0</v>
      </c>
      <c r="AC44" s="160">
        <f t="shared" si="31"/>
        <v>0</v>
      </c>
      <c r="AD44" s="160">
        <f t="shared" si="31"/>
        <v>0</v>
      </c>
      <c r="AE44" s="160">
        <f t="shared" si="31"/>
        <v>0</v>
      </c>
      <c r="AF44" s="160">
        <f t="shared" si="31"/>
        <v>0</v>
      </c>
      <c r="AG44" s="189">
        <f t="shared" si="31"/>
        <v>0</v>
      </c>
      <c r="AH44" s="189">
        <f t="shared" si="31"/>
        <v>0</v>
      </c>
      <c r="AI44" s="189">
        <f t="shared" si="31"/>
        <v>0</v>
      </c>
      <c r="AJ44" s="189">
        <f t="shared" si="31"/>
        <v>0</v>
      </c>
      <c r="AK44" s="189">
        <f t="shared" si="31"/>
        <v>0</v>
      </c>
      <c r="AL44" s="216">
        <f t="shared" si="31"/>
        <v>0</v>
      </c>
      <c r="AM44" s="51"/>
      <c r="AN44" s="50"/>
      <c r="AQ44" s="596" t="s">
        <v>150</v>
      </c>
      <c r="AR44" s="595"/>
      <c r="AS44" s="597">
        <v>0.35</v>
      </c>
    </row>
    <row r="45" spans="1:45" ht="16.2" thickBot="1">
      <c r="A45" s="153"/>
      <c r="B45" s="153"/>
      <c r="C45" s="137"/>
      <c r="E45" s="50"/>
      <c r="F45" s="51"/>
      <c r="G45" s="217" t="s">
        <v>34</v>
      </c>
      <c r="H45" s="152"/>
      <c r="I45" s="184">
        <f>SUM(I43:I44)</f>
        <v>216000000</v>
      </c>
      <c r="J45" s="184">
        <f t="shared" ref="J45:R45" si="32">SUM(J43:J44)</f>
        <v>129600000</v>
      </c>
      <c r="K45" s="184">
        <f t="shared" si="32"/>
        <v>77760000</v>
      </c>
      <c r="L45" s="184">
        <f t="shared" si="32"/>
        <v>46656000</v>
      </c>
      <c r="M45" s="184">
        <f t="shared" si="32"/>
        <v>15552000</v>
      </c>
      <c r="N45" s="184">
        <f>SUM(N43:N44)</f>
        <v>0</v>
      </c>
      <c r="O45" s="184">
        <f t="shared" si="32"/>
        <v>0</v>
      </c>
      <c r="P45" s="184">
        <f t="shared" si="32"/>
        <v>0</v>
      </c>
      <c r="Q45" s="184">
        <f t="shared" si="32"/>
        <v>0</v>
      </c>
      <c r="R45" s="186">
        <f t="shared" si="32"/>
        <v>0</v>
      </c>
      <c r="S45" s="186">
        <f>SUM(S43:S44)</f>
        <v>0</v>
      </c>
      <c r="T45" s="186">
        <f t="shared" ref="T45:AB45" si="33">SUM(T43:T44)</f>
        <v>0</v>
      </c>
      <c r="U45" s="186">
        <f t="shared" si="33"/>
        <v>0</v>
      </c>
      <c r="V45" s="186">
        <f t="shared" si="33"/>
        <v>0</v>
      </c>
      <c r="W45" s="186">
        <f t="shared" si="33"/>
        <v>0</v>
      </c>
      <c r="X45" s="186">
        <f t="shared" si="33"/>
        <v>0</v>
      </c>
      <c r="Y45" s="186">
        <f t="shared" si="33"/>
        <v>0</v>
      </c>
      <c r="Z45" s="184">
        <f t="shared" si="33"/>
        <v>0</v>
      </c>
      <c r="AA45" s="184">
        <f t="shared" si="33"/>
        <v>0</v>
      </c>
      <c r="AB45" s="184">
        <f t="shared" si="33"/>
        <v>0</v>
      </c>
      <c r="AC45" s="184">
        <f t="shared" ref="AC45:AL45" si="34">SUM(AC43:AC44)</f>
        <v>0</v>
      </c>
      <c r="AD45" s="184">
        <f t="shared" si="34"/>
        <v>0</v>
      </c>
      <c r="AE45" s="184">
        <f t="shared" si="34"/>
        <v>0</v>
      </c>
      <c r="AF45" s="184">
        <f t="shared" si="34"/>
        <v>0</v>
      </c>
      <c r="AG45" s="186">
        <f t="shared" si="34"/>
        <v>0</v>
      </c>
      <c r="AH45" s="186">
        <f t="shared" si="34"/>
        <v>0</v>
      </c>
      <c r="AI45" s="186">
        <f t="shared" si="34"/>
        <v>0</v>
      </c>
      <c r="AJ45" s="186">
        <f t="shared" si="34"/>
        <v>0</v>
      </c>
      <c r="AK45" s="186">
        <f t="shared" si="34"/>
        <v>0</v>
      </c>
      <c r="AL45" s="94">
        <f t="shared" si="34"/>
        <v>0</v>
      </c>
      <c r="AM45" s="51"/>
      <c r="AN45" s="50"/>
      <c r="AQ45" s="596" t="s">
        <v>151</v>
      </c>
      <c r="AR45" s="595"/>
      <c r="AS45" s="597">
        <v>7.0999999999999994E-2</v>
      </c>
    </row>
    <row r="46" spans="1:45" ht="16.8" thickTop="1" thickBot="1">
      <c r="A46" s="141"/>
      <c r="B46" s="141"/>
      <c r="C46" s="141"/>
      <c r="E46" s="50"/>
      <c r="F46" s="51"/>
      <c r="G46" s="206"/>
      <c r="H46" s="207"/>
      <c r="I46" s="177"/>
      <c r="J46" s="207"/>
      <c r="K46" s="207"/>
      <c r="L46" s="207"/>
      <c r="M46" s="207"/>
      <c r="N46" s="207"/>
      <c r="O46" s="207"/>
      <c r="P46" s="207"/>
      <c r="Q46" s="207"/>
      <c r="R46" s="207"/>
      <c r="S46" s="61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233"/>
      <c r="AM46" s="51"/>
      <c r="AN46" s="50"/>
      <c r="AQ46" s="596" t="s">
        <v>152</v>
      </c>
      <c r="AR46" s="595"/>
      <c r="AS46" s="598">
        <v>8.8499999999999995E-2</v>
      </c>
    </row>
    <row r="47" spans="1:45" ht="18.600000000000001" thickBot="1">
      <c r="A47" s="125" t="s">
        <v>42</v>
      </c>
      <c r="B47" s="126"/>
      <c r="C47" s="127"/>
      <c r="E47" s="50"/>
      <c r="F47" s="51"/>
      <c r="G47" s="68" t="s">
        <v>31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4"/>
      <c r="AM47" s="51"/>
      <c r="AN47" s="50"/>
      <c r="AQ47" s="596" t="s">
        <v>14</v>
      </c>
      <c r="AR47" s="595"/>
      <c r="AS47" s="597">
        <f>AS44+(1-AS44)*(AS45+AS46)</f>
        <v>0.45367499999999994</v>
      </c>
    </row>
    <row r="48" spans="1:45" ht="18">
      <c r="A48" s="128" t="s">
        <v>37</v>
      </c>
      <c r="B48" s="129"/>
      <c r="C48" s="134">
        <f ca="1">SUM(I38:OFFSET($H$38,0,$C$32))-($C$6*C26)</f>
        <v>-73608702.612270162</v>
      </c>
      <c r="E48" s="50"/>
      <c r="F48" s="51"/>
      <c r="G48" s="209" t="s">
        <v>30</v>
      </c>
      <c r="H48" s="210"/>
      <c r="I48" s="211">
        <f>IF(I6&gt;C32,0,C25*C6)</f>
        <v>135000000</v>
      </c>
      <c r="J48" s="212">
        <f t="shared" ref="J48:AL48" si="35">IF(J6&gt;$C$32,0,I51)</f>
        <v>131074319.57246725</v>
      </c>
      <c r="K48" s="212">
        <f t="shared" si="35"/>
        <v>126937830.105976</v>
      </c>
      <c r="L48" s="212">
        <f t="shared" si="35"/>
        <v>122579211.15513417</v>
      </c>
      <c r="M48" s="212">
        <f t="shared" si="35"/>
        <v>117986534.36663213</v>
      </c>
      <c r="N48" s="212">
        <f t="shared" si="35"/>
        <v>113147230.83458753</v>
      </c>
      <c r="O48" s="212">
        <f t="shared" si="35"/>
        <v>108048056.70287214</v>
      </c>
      <c r="P48" s="212">
        <f t="shared" si="35"/>
        <v>102675056.92028363</v>
      </c>
      <c r="Q48" s="212">
        <f t="shared" si="35"/>
        <v>97013527.04937011</v>
      </c>
      <c r="R48" s="212">
        <f t="shared" si="35"/>
        <v>91047973.024388537</v>
      </c>
      <c r="S48" s="212">
        <f t="shared" si="35"/>
        <v>84762068.74826546</v>
      </c>
      <c r="T48" s="212">
        <f t="shared" si="35"/>
        <v>78138611.412514567</v>
      </c>
      <c r="U48" s="212">
        <f t="shared" si="35"/>
        <v>71159474.41783385</v>
      </c>
      <c r="V48" s="212">
        <f t="shared" si="35"/>
        <v>63805557.766538784</v>
      </c>
      <c r="W48" s="212">
        <f t="shared" si="35"/>
        <v>56056735.791069172</v>
      </c>
      <c r="X48" s="212">
        <f t="shared" si="35"/>
        <v>47891802.075516842</v>
      </c>
      <c r="Y48" s="212">
        <f t="shared" si="35"/>
        <v>39288411.419439353</v>
      </c>
      <c r="Z48" s="212">
        <f t="shared" si="35"/>
        <v>30223018.685130503</v>
      </c>
      <c r="AA48" s="212">
        <f t="shared" si="35"/>
        <v>20670814.360989265</v>
      </c>
      <c r="AB48" s="212">
        <f t="shared" si="35"/>
        <v>10605656.664641645</v>
      </c>
      <c r="AC48" s="212">
        <f t="shared" si="35"/>
        <v>0</v>
      </c>
      <c r="AD48" s="212">
        <f t="shared" si="35"/>
        <v>0</v>
      </c>
      <c r="AE48" s="212">
        <f t="shared" si="35"/>
        <v>0</v>
      </c>
      <c r="AF48" s="212">
        <f t="shared" si="35"/>
        <v>0</v>
      </c>
      <c r="AG48" s="212">
        <f t="shared" si="35"/>
        <v>0</v>
      </c>
      <c r="AH48" s="212">
        <f t="shared" si="35"/>
        <v>0</v>
      </c>
      <c r="AI48" s="212">
        <f t="shared" si="35"/>
        <v>0</v>
      </c>
      <c r="AJ48" s="212">
        <f t="shared" si="35"/>
        <v>0</v>
      </c>
      <c r="AK48" s="212">
        <f t="shared" si="35"/>
        <v>0</v>
      </c>
      <c r="AL48" s="93">
        <f t="shared" si="35"/>
        <v>0</v>
      </c>
      <c r="AM48" s="51"/>
      <c r="AN48" s="50"/>
      <c r="AQ48" s="592"/>
      <c r="AR48" s="592"/>
      <c r="AS48" s="597">
        <f>(1-AS44)*(AS45+AS46)</f>
        <v>0.10367499999999999</v>
      </c>
    </row>
    <row r="49" spans="1:40" ht="18.600000000000001" thickBot="1">
      <c r="A49" s="130" t="s">
        <v>105</v>
      </c>
      <c r="B49" s="124"/>
      <c r="C49" s="131"/>
      <c r="E49" s="50"/>
      <c r="F49" s="51"/>
      <c r="G49" s="197" t="s">
        <v>32</v>
      </c>
      <c r="H49" s="151"/>
      <c r="I49" s="157">
        <f t="shared" ref="I49:AL49" si="36">IF(I6&gt;$C$32,0,-I48*$C$27)</f>
        <v>-7249500</v>
      </c>
      <c r="J49" s="157">
        <f t="shared" si="36"/>
        <v>-7038690.9610414915</v>
      </c>
      <c r="K49" s="157">
        <f t="shared" si="36"/>
        <v>-6816561.4766909108</v>
      </c>
      <c r="L49" s="157">
        <f t="shared" si="36"/>
        <v>-6582503.6390307043</v>
      </c>
      <c r="M49" s="157">
        <f t="shared" si="36"/>
        <v>-6335876.8954881458</v>
      </c>
      <c r="N49" s="157">
        <f t="shared" si="36"/>
        <v>-6076006.29581735</v>
      </c>
      <c r="O49" s="157">
        <f t="shared" si="36"/>
        <v>-5802180.6449442338</v>
      </c>
      <c r="P49" s="157">
        <f t="shared" si="36"/>
        <v>-5513650.5566192307</v>
      </c>
      <c r="Q49" s="157">
        <f t="shared" si="36"/>
        <v>-5209626.4025511751</v>
      </c>
      <c r="R49" s="157">
        <f t="shared" si="36"/>
        <v>-4889276.1514096642</v>
      </c>
      <c r="S49" s="157">
        <f t="shared" si="36"/>
        <v>-4551723.0917818546</v>
      </c>
      <c r="T49" s="157">
        <f t="shared" si="36"/>
        <v>-4196043.4328520317</v>
      </c>
      <c r="U49" s="157">
        <f t="shared" si="36"/>
        <v>-3821263.7762376778</v>
      </c>
      <c r="V49" s="157">
        <f t="shared" si="36"/>
        <v>-3426358.4520631325</v>
      </c>
      <c r="W49" s="157">
        <f t="shared" si="36"/>
        <v>-3010246.7119804146</v>
      </c>
      <c r="X49" s="157">
        <f t="shared" si="36"/>
        <v>-2571789.7714552544</v>
      </c>
      <c r="Y49" s="157">
        <f t="shared" si="36"/>
        <v>-2109787.6932238932</v>
      </c>
      <c r="Z49" s="157">
        <f t="shared" si="36"/>
        <v>-1622976.1033915079</v>
      </c>
      <c r="AA49" s="157">
        <f t="shared" si="36"/>
        <v>-1110022.7311851236</v>
      </c>
      <c r="AB49" s="157">
        <f t="shared" si="36"/>
        <v>-569523.76289125625</v>
      </c>
      <c r="AC49" s="157">
        <f t="shared" si="36"/>
        <v>0</v>
      </c>
      <c r="AD49" s="157">
        <f t="shared" si="36"/>
        <v>0</v>
      </c>
      <c r="AE49" s="157">
        <f t="shared" si="36"/>
        <v>0</v>
      </c>
      <c r="AF49" s="157">
        <f t="shared" si="36"/>
        <v>0</v>
      </c>
      <c r="AG49" s="157">
        <f t="shared" si="36"/>
        <v>0</v>
      </c>
      <c r="AH49" s="157">
        <f t="shared" si="36"/>
        <v>0</v>
      </c>
      <c r="AI49" s="157">
        <f t="shared" si="36"/>
        <v>0</v>
      </c>
      <c r="AJ49" s="157">
        <f t="shared" si="36"/>
        <v>0</v>
      </c>
      <c r="AK49" s="157">
        <f t="shared" si="36"/>
        <v>0</v>
      </c>
      <c r="AL49" s="240">
        <f t="shared" si="36"/>
        <v>0</v>
      </c>
      <c r="AM49" s="51"/>
      <c r="AN49" s="50"/>
    </row>
    <row r="50" spans="1:40" ht="18.600000000000001" thickBot="1">
      <c r="A50" s="132" t="s">
        <v>104</v>
      </c>
      <c r="B50" s="133"/>
      <c r="C50" s="135">
        <f ca="1">SUM(I39:OFFSET($H$39,0,$C$32))-($C$6*C26)</f>
        <v>-9731138.7937629819</v>
      </c>
      <c r="E50" s="50"/>
      <c r="F50" s="51"/>
      <c r="G50" s="197" t="s">
        <v>33</v>
      </c>
      <c r="H50" s="151"/>
      <c r="I50" s="157">
        <f t="shared" ref="I50:AL50" si="37">IF(I6&gt;$C$32,0,$C$44-I49)</f>
        <v>-3925680.4275327437</v>
      </c>
      <c r="J50" s="157">
        <f t="shared" si="37"/>
        <v>-4136489.4664912522</v>
      </c>
      <c r="K50" s="157">
        <f t="shared" si="37"/>
        <v>-4358618.9508418329</v>
      </c>
      <c r="L50" s="157">
        <f t="shared" si="37"/>
        <v>-4592676.7885020394</v>
      </c>
      <c r="M50" s="157">
        <f t="shared" si="37"/>
        <v>-4839303.5320445979</v>
      </c>
      <c r="N50" s="157">
        <f t="shared" si="37"/>
        <v>-5099174.1317153936</v>
      </c>
      <c r="O50" s="157">
        <f t="shared" si="37"/>
        <v>-5372999.7825885098</v>
      </c>
      <c r="P50" s="157">
        <f t="shared" si="37"/>
        <v>-5661529.870913513</v>
      </c>
      <c r="Q50" s="157">
        <f t="shared" si="37"/>
        <v>-5965554.0249815686</v>
      </c>
      <c r="R50" s="157">
        <f t="shared" si="37"/>
        <v>-6285904.2761230795</v>
      </c>
      <c r="S50" s="157">
        <f t="shared" si="37"/>
        <v>-6623457.335750889</v>
      </c>
      <c r="T50" s="157">
        <f t="shared" si="37"/>
        <v>-6979136.994680712</v>
      </c>
      <c r="U50" s="157">
        <f t="shared" si="37"/>
        <v>-7353916.6512950659</v>
      </c>
      <c r="V50" s="157">
        <f t="shared" si="37"/>
        <v>-7748821.9754696116</v>
      </c>
      <c r="W50" s="157">
        <f t="shared" si="37"/>
        <v>-8164933.7155523291</v>
      </c>
      <c r="X50" s="157">
        <f t="shared" si="37"/>
        <v>-8603390.6560774893</v>
      </c>
      <c r="Y50" s="157">
        <f t="shared" si="37"/>
        <v>-9065392.73430885</v>
      </c>
      <c r="Z50" s="157">
        <f t="shared" si="37"/>
        <v>-9552204.324141236</v>
      </c>
      <c r="AA50" s="157">
        <f t="shared" si="37"/>
        <v>-10065157.69634762</v>
      </c>
      <c r="AB50" s="157">
        <f t="shared" si="37"/>
        <v>-10605656.664641488</v>
      </c>
      <c r="AC50" s="157">
        <f t="shared" si="37"/>
        <v>0</v>
      </c>
      <c r="AD50" s="157">
        <f t="shared" si="37"/>
        <v>0</v>
      </c>
      <c r="AE50" s="157">
        <f t="shared" si="37"/>
        <v>0</v>
      </c>
      <c r="AF50" s="157">
        <f t="shared" si="37"/>
        <v>0</v>
      </c>
      <c r="AG50" s="157">
        <f t="shared" si="37"/>
        <v>0</v>
      </c>
      <c r="AH50" s="157">
        <f t="shared" si="37"/>
        <v>0</v>
      </c>
      <c r="AI50" s="157">
        <f t="shared" si="37"/>
        <v>0</v>
      </c>
      <c r="AJ50" s="157">
        <f t="shared" si="37"/>
        <v>0</v>
      </c>
      <c r="AK50" s="157">
        <f t="shared" si="37"/>
        <v>0</v>
      </c>
      <c r="AL50" s="240">
        <f t="shared" si="37"/>
        <v>0</v>
      </c>
      <c r="AM50" s="51"/>
      <c r="AN50" s="50"/>
    </row>
    <row r="51" spans="1:40" ht="16.2" thickBot="1">
      <c r="E51" s="50"/>
      <c r="F51" s="51"/>
      <c r="G51" s="213" t="s">
        <v>34</v>
      </c>
      <c r="H51" s="145"/>
      <c r="I51" s="184">
        <f>I48+I50</f>
        <v>131074319.57246725</v>
      </c>
      <c r="J51" s="185">
        <f>J48+J50</f>
        <v>126937830.105976</v>
      </c>
      <c r="K51" s="185">
        <f t="shared" ref="K51:R51" si="38">K48+K50</f>
        <v>122579211.15513417</v>
      </c>
      <c r="L51" s="185">
        <f t="shared" si="38"/>
        <v>117986534.36663213</v>
      </c>
      <c r="M51" s="185">
        <f t="shared" si="38"/>
        <v>113147230.83458753</v>
      </c>
      <c r="N51" s="185">
        <f t="shared" si="38"/>
        <v>108048056.70287214</v>
      </c>
      <c r="O51" s="185">
        <f t="shared" si="38"/>
        <v>102675056.92028363</v>
      </c>
      <c r="P51" s="185">
        <f t="shared" si="38"/>
        <v>97013527.04937011</v>
      </c>
      <c r="Q51" s="185">
        <f t="shared" si="38"/>
        <v>91047973.024388537</v>
      </c>
      <c r="R51" s="185">
        <f t="shared" si="38"/>
        <v>84762068.74826546</v>
      </c>
      <c r="S51" s="185">
        <f t="shared" ref="S51:Y51" si="39">S48+S50</f>
        <v>78138611.412514567</v>
      </c>
      <c r="T51" s="185">
        <f t="shared" si="39"/>
        <v>71159474.41783385</v>
      </c>
      <c r="U51" s="185">
        <f t="shared" si="39"/>
        <v>63805557.766538784</v>
      </c>
      <c r="V51" s="185">
        <f t="shared" si="39"/>
        <v>56056735.791069172</v>
      </c>
      <c r="W51" s="185">
        <f t="shared" si="39"/>
        <v>47891802.075516842</v>
      </c>
      <c r="X51" s="185">
        <f t="shared" si="39"/>
        <v>39288411.419439353</v>
      </c>
      <c r="Y51" s="185">
        <f t="shared" si="39"/>
        <v>30223018.685130503</v>
      </c>
      <c r="Z51" s="185">
        <f t="shared" ref="Z51:AG51" si="40">Z48+Z50</f>
        <v>20670814.360989265</v>
      </c>
      <c r="AA51" s="185">
        <f t="shared" si="40"/>
        <v>10605656.664641645</v>
      </c>
      <c r="AB51" s="185">
        <f t="shared" si="40"/>
        <v>1.5646219253540039E-7</v>
      </c>
      <c r="AC51" s="185">
        <f t="shared" si="40"/>
        <v>0</v>
      </c>
      <c r="AD51" s="185">
        <f t="shared" si="40"/>
        <v>0</v>
      </c>
      <c r="AE51" s="185">
        <f t="shared" si="40"/>
        <v>0</v>
      </c>
      <c r="AF51" s="185">
        <f t="shared" si="40"/>
        <v>0</v>
      </c>
      <c r="AG51" s="185">
        <f t="shared" si="40"/>
        <v>0</v>
      </c>
      <c r="AH51" s="185">
        <f>AH48+AH50</f>
        <v>0</v>
      </c>
      <c r="AI51" s="185">
        <f>AI48+AI50</f>
        <v>0</v>
      </c>
      <c r="AJ51" s="185">
        <f>AJ48+AJ50</f>
        <v>0</v>
      </c>
      <c r="AK51" s="185">
        <f>AK48+AK50</f>
        <v>0</v>
      </c>
      <c r="AL51" s="92">
        <f>AL48+AL50</f>
        <v>0</v>
      </c>
      <c r="AM51" s="51"/>
      <c r="AN51" s="50"/>
    </row>
    <row r="52" spans="1:40" ht="9.75" customHeight="1" thickTop="1" thickBot="1">
      <c r="E52" s="50"/>
      <c r="F52" s="51"/>
      <c r="G52" s="206"/>
      <c r="H52" s="207"/>
      <c r="I52" s="177"/>
      <c r="J52" s="207"/>
      <c r="K52" s="207"/>
      <c r="L52" s="207"/>
      <c r="M52" s="207"/>
      <c r="N52" s="207"/>
      <c r="O52" s="207"/>
      <c r="P52" s="207"/>
      <c r="Q52" s="207"/>
      <c r="R52" s="207"/>
      <c r="S52" s="72"/>
      <c r="T52" s="207"/>
      <c r="U52" s="207"/>
      <c r="V52" s="207"/>
      <c r="W52" s="207"/>
      <c r="X52" s="207"/>
      <c r="Y52" s="207"/>
      <c r="Z52" s="207"/>
      <c r="AA52" s="207"/>
      <c r="AB52" s="207"/>
      <c r="AC52" s="207"/>
      <c r="AD52" s="207"/>
      <c r="AE52" s="207"/>
      <c r="AF52" s="207"/>
      <c r="AG52" s="207"/>
      <c r="AH52" s="207"/>
      <c r="AI52" s="207"/>
      <c r="AJ52" s="207"/>
      <c r="AK52" s="207"/>
      <c r="AL52" s="208"/>
      <c r="AM52" s="51"/>
      <c r="AN52" s="50"/>
    </row>
    <row r="53" spans="1:40" ht="5.25" customHeight="1">
      <c r="E53" s="50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0"/>
    </row>
    <row r="54" spans="1:40" ht="15.6">
      <c r="B54" s="67" t="s">
        <v>77</v>
      </c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</row>
    <row r="56" spans="1:40">
      <c r="A56" s="600" t="s">
        <v>153</v>
      </c>
      <c r="B56" s="599"/>
      <c r="C56" s="601">
        <f ca="1">C50/C7/1000</f>
        <v>-97.311387937629817</v>
      </c>
    </row>
  </sheetData>
  <mergeCells count="1">
    <mergeCell ref="A2:C2"/>
  </mergeCells>
  <conditionalFormatting sqref="A55:A56 A47:A53 G42:AL46 G48:AL52 C21 D5:D56 A2:A3 D2:D3 B3:C3 G6:AL8 C17:C19 A46:C46 E55:AN56 B16:B21 B47:C56 A45 B5:C15 B22:C45 G10:AL40 AO1:IV1048576">
    <cfRule type="cellIs" dxfId="17" priority="5" operator="lessThan">
      <formula>0</formula>
    </cfRule>
  </conditionalFormatting>
  <dataValidations count="7">
    <dataValidation type="list" allowBlank="1" showInputMessage="1" showErrorMessage="1" sqref="C13">
      <formula1>"0,15,25"</formula1>
    </dataValidation>
    <dataValidation type="list" allowBlank="1" showInputMessage="1" showErrorMessage="1" sqref="C45 C23">
      <formula1>"YES, NO"</formula1>
    </dataValidation>
    <dataValidation type="list" allowBlank="1" showInputMessage="1" showErrorMessage="1" sqref="C34">
      <formula1>INDIRECT($C$33)</formula1>
    </dataValidation>
    <dataValidation type="list" allowBlank="1" showInputMessage="1" showErrorMessage="1" sqref="C33">
      <formula1>$AP$5:$AR$5</formula1>
    </dataValidation>
    <dataValidation type="list" allowBlank="1" showInputMessage="1" showErrorMessage="1" sqref="C32">
      <formula1>"1, 2, 3, 4, 5, 6, 7, 8, 9, 10, 11, 12, 13, 14, 15,16,17,18,19,20,21,22,23,24,25,26,27,28,29,30"</formula1>
    </dataValidation>
    <dataValidation type="list" allowBlank="1" showInputMessage="1" showErrorMessage="1" sqref="C22">
      <formula1>"-10, -9, -8, -7, -6, -5, -4, -3, -2, -1, 0, 1, 2, 3, 4, 5, 6, 7, 8, 9, 10"</formula1>
    </dataValidation>
    <dataValidation type="list" allowBlank="1" showInputMessage="1" showErrorMessage="1" sqref="D24">
      <formula1>"1, 2, 3, 4, 5"</formula1>
    </dataValidation>
  </dataValidations>
  <pageMargins left="0.7" right="0.7" top="0.75" bottom="0.75" header="0.3" footer="0.3"/>
  <pageSetup orientation="portrait" r:id="rId1"/>
  <headerFooter>
    <oddFooter>&amp;RPrepared by Julia Popova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S65"/>
  <sheetViews>
    <sheetView zoomScale="70" zoomScaleNormal="70" workbookViewId="0">
      <pane xSplit="7" ySplit="5" topLeftCell="H6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4.4"/>
  <cols>
    <col min="1" max="1" width="38.44140625" style="592" customWidth="1"/>
    <col min="2" max="2" width="12.44140625" style="592" bestFit="1" customWidth="1"/>
    <col min="3" max="3" width="20" style="592" bestFit="1" customWidth="1"/>
    <col min="4" max="4" width="2.6640625" style="535" customWidth="1"/>
    <col min="5" max="5" width="3" style="592" customWidth="1"/>
    <col min="6" max="6" width="1.5546875" style="592" customWidth="1"/>
    <col min="7" max="7" width="51" style="592" bestFit="1" customWidth="1"/>
    <col min="8" max="8" width="11.109375" style="592" bestFit="1" customWidth="1"/>
    <col min="9" max="10" width="17.6640625" style="592" bestFit="1" customWidth="1"/>
    <col min="11" max="12" width="17.33203125" style="592" bestFit="1" customWidth="1"/>
    <col min="13" max="14" width="16.6640625" style="592" bestFit="1" customWidth="1"/>
    <col min="15" max="15" width="15.6640625" style="592" bestFit="1" customWidth="1"/>
    <col min="16" max="16" width="16" style="592" bestFit="1" customWidth="1"/>
    <col min="17" max="17" width="16.6640625" style="592" bestFit="1" customWidth="1"/>
    <col min="18" max="19" width="17.33203125" style="592" bestFit="1" customWidth="1"/>
    <col min="20" max="20" width="17.6640625" style="592" bestFit="1" customWidth="1"/>
    <col min="21" max="22" width="17.33203125" style="592" bestFit="1" customWidth="1"/>
    <col min="23" max="23" width="16.6640625" style="592" bestFit="1" customWidth="1"/>
    <col min="24" max="24" width="16" style="592" bestFit="1" customWidth="1"/>
    <col min="25" max="25" width="15.6640625" style="592" bestFit="1" customWidth="1"/>
    <col min="26" max="26" width="16" style="592" bestFit="1" customWidth="1"/>
    <col min="27" max="28" width="16.6640625" style="592" bestFit="1" customWidth="1"/>
    <col min="29" max="35" width="8.88671875" style="592" bestFit="1" customWidth="1"/>
    <col min="36" max="36" width="8.88671875" style="592" customWidth="1"/>
    <col min="37" max="38" width="8.88671875" style="592" bestFit="1" customWidth="1"/>
    <col min="39" max="40" width="1.44140625" style="592" customWidth="1"/>
    <col min="41" max="41" width="9.109375" style="592"/>
    <col min="42" max="42" width="8.6640625" style="592" bestFit="1" customWidth="1"/>
    <col min="43" max="43" width="14.88671875" style="592" bestFit="1" customWidth="1"/>
    <col min="44" max="16384" width="9.109375" style="592"/>
  </cols>
  <sheetData>
    <row r="1" spans="1:44" ht="23.4">
      <c r="A1" s="574" t="s">
        <v>164</v>
      </c>
    </row>
    <row r="2" spans="1:44" ht="21">
      <c r="A2" s="602" t="s">
        <v>155</v>
      </c>
      <c r="B2" s="603"/>
      <c r="C2" s="603"/>
    </row>
    <row r="3" spans="1:44" ht="15.6">
      <c r="A3" s="455"/>
      <c r="B3" s="455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4" ht="5.25" customHeight="1">
      <c r="E4" s="467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7"/>
    </row>
    <row r="5" spans="1:44" ht="16.2" thickBot="1">
      <c r="A5" s="469" t="s">
        <v>0</v>
      </c>
      <c r="B5" s="518"/>
      <c r="E5" s="467"/>
      <c r="F5" s="468"/>
      <c r="G5" s="471" t="s">
        <v>64</v>
      </c>
      <c r="H5" s="472">
        <v>42491</v>
      </c>
      <c r="I5" s="473">
        <v>42856</v>
      </c>
      <c r="J5" s="473">
        <v>43221</v>
      </c>
      <c r="K5" s="473">
        <v>43586</v>
      </c>
      <c r="L5" s="473">
        <v>43952</v>
      </c>
      <c r="M5" s="473">
        <v>44317</v>
      </c>
      <c r="N5" s="473">
        <v>44682</v>
      </c>
      <c r="O5" s="473">
        <v>45047</v>
      </c>
      <c r="P5" s="473">
        <v>45413</v>
      </c>
      <c r="Q5" s="473">
        <v>45778</v>
      </c>
      <c r="R5" s="473">
        <v>46143</v>
      </c>
      <c r="S5" s="473">
        <v>46508</v>
      </c>
      <c r="T5" s="473">
        <v>46874</v>
      </c>
      <c r="U5" s="473">
        <v>47239</v>
      </c>
      <c r="V5" s="473">
        <v>47604</v>
      </c>
      <c r="W5" s="473">
        <v>47969</v>
      </c>
      <c r="X5" s="473">
        <v>48335</v>
      </c>
      <c r="Y5" s="473">
        <v>48700</v>
      </c>
      <c r="Z5" s="473">
        <v>49065</v>
      </c>
      <c r="AA5" s="473">
        <v>49430</v>
      </c>
      <c r="AB5" s="473">
        <v>49796</v>
      </c>
      <c r="AC5" s="473">
        <v>50161</v>
      </c>
      <c r="AD5" s="473">
        <v>50526</v>
      </c>
      <c r="AE5" s="473">
        <v>50891</v>
      </c>
      <c r="AF5" s="473">
        <v>51257</v>
      </c>
      <c r="AG5" s="473">
        <v>51622</v>
      </c>
      <c r="AH5" s="473">
        <v>51987</v>
      </c>
      <c r="AI5" s="473">
        <v>52352</v>
      </c>
      <c r="AJ5" s="473">
        <v>52718</v>
      </c>
      <c r="AK5" s="473">
        <v>53083</v>
      </c>
      <c r="AL5" s="473">
        <v>53448</v>
      </c>
      <c r="AM5" s="468"/>
      <c r="AN5" s="467"/>
      <c r="AP5" s="545" t="s">
        <v>45</v>
      </c>
      <c r="AQ5" s="545" t="s">
        <v>46</v>
      </c>
      <c r="AR5" s="545" t="s">
        <v>94</v>
      </c>
    </row>
    <row r="6" spans="1:44" ht="15.6">
      <c r="A6" s="474" t="s">
        <v>71</v>
      </c>
      <c r="B6" s="478" t="s">
        <v>74</v>
      </c>
      <c r="C6" s="563">
        <f>1800*1.25*C7*1000</f>
        <v>225000000</v>
      </c>
      <c r="D6" s="421"/>
      <c r="E6" s="467"/>
      <c r="F6" s="468"/>
      <c r="G6" s="559" t="s">
        <v>16</v>
      </c>
      <c r="H6" s="560"/>
      <c r="I6" s="561">
        <v>1</v>
      </c>
      <c r="J6" s="561">
        <v>2</v>
      </c>
      <c r="K6" s="561">
        <v>3</v>
      </c>
      <c r="L6" s="561">
        <v>4</v>
      </c>
      <c r="M6" s="561">
        <v>5</v>
      </c>
      <c r="N6" s="561">
        <v>6</v>
      </c>
      <c r="O6" s="561">
        <v>7</v>
      </c>
      <c r="P6" s="561">
        <v>8</v>
      </c>
      <c r="Q6" s="561">
        <v>9</v>
      </c>
      <c r="R6" s="561">
        <v>10</v>
      </c>
      <c r="S6" s="561">
        <v>11</v>
      </c>
      <c r="T6" s="561">
        <v>12</v>
      </c>
      <c r="U6" s="561">
        <v>13</v>
      </c>
      <c r="V6" s="561">
        <v>14</v>
      </c>
      <c r="W6" s="561">
        <v>15</v>
      </c>
      <c r="X6" s="561">
        <v>16</v>
      </c>
      <c r="Y6" s="561">
        <v>17</v>
      </c>
      <c r="Z6" s="561">
        <v>18</v>
      </c>
      <c r="AA6" s="561">
        <v>19</v>
      </c>
      <c r="AB6" s="561">
        <v>20</v>
      </c>
      <c r="AC6" s="561">
        <v>21</v>
      </c>
      <c r="AD6" s="561">
        <v>22</v>
      </c>
      <c r="AE6" s="561">
        <v>23</v>
      </c>
      <c r="AF6" s="561">
        <v>24</v>
      </c>
      <c r="AG6" s="561">
        <v>25</v>
      </c>
      <c r="AH6" s="561">
        <v>26</v>
      </c>
      <c r="AI6" s="561">
        <v>27</v>
      </c>
      <c r="AJ6" s="561">
        <v>28</v>
      </c>
      <c r="AK6" s="561">
        <v>29</v>
      </c>
      <c r="AL6" s="562">
        <v>30</v>
      </c>
      <c r="AM6" s="468"/>
      <c r="AN6" s="467"/>
      <c r="AP6" s="545">
        <v>3</v>
      </c>
      <c r="AQ6" s="545">
        <v>1</v>
      </c>
      <c r="AR6" s="545">
        <v>5</v>
      </c>
    </row>
    <row r="7" spans="1:44" ht="15.6">
      <c r="A7" s="470" t="s">
        <v>63</v>
      </c>
      <c r="B7" s="478" t="s">
        <v>68</v>
      </c>
      <c r="C7" s="564">
        <v>100</v>
      </c>
      <c r="E7" s="467"/>
      <c r="F7" s="468"/>
      <c r="G7" s="550" t="s">
        <v>17</v>
      </c>
      <c r="H7" s="529"/>
      <c r="I7" s="547">
        <f>(1+$C$28)^(I6-1)</f>
        <v>1</v>
      </c>
      <c r="J7" s="547">
        <f t="shared" ref="J7:AL7" si="0">(1+$C$28)^(J6-1)</f>
        <v>1.0229999999999999</v>
      </c>
      <c r="K7" s="547">
        <f t="shared" si="0"/>
        <v>1.0465289999999998</v>
      </c>
      <c r="L7" s="547">
        <f t="shared" si="0"/>
        <v>1.0705991669999997</v>
      </c>
      <c r="M7" s="547">
        <f t="shared" si="0"/>
        <v>1.0952229478409996</v>
      </c>
      <c r="N7" s="547">
        <f t="shared" si="0"/>
        <v>1.1204130756413424</v>
      </c>
      <c r="O7" s="547">
        <f t="shared" si="0"/>
        <v>1.1461825763810933</v>
      </c>
      <c r="P7" s="547">
        <f t="shared" si="0"/>
        <v>1.1725447756378582</v>
      </c>
      <c r="Q7" s="547">
        <f t="shared" si="0"/>
        <v>1.1995133054775289</v>
      </c>
      <c r="R7" s="547">
        <f t="shared" si="0"/>
        <v>1.2271021115035119</v>
      </c>
      <c r="S7" s="547">
        <f t="shared" si="0"/>
        <v>1.2553254600680925</v>
      </c>
      <c r="T7" s="547">
        <f t="shared" si="0"/>
        <v>1.2841979456496586</v>
      </c>
      <c r="U7" s="547">
        <f t="shared" si="0"/>
        <v>1.3137344983996007</v>
      </c>
      <c r="V7" s="547">
        <f t="shared" si="0"/>
        <v>1.3439503918627913</v>
      </c>
      <c r="W7" s="547">
        <f t="shared" si="0"/>
        <v>1.3748612508756355</v>
      </c>
      <c r="X7" s="547">
        <f t="shared" si="0"/>
        <v>1.4064830596457747</v>
      </c>
      <c r="Y7" s="547">
        <f t="shared" si="0"/>
        <v>1.4388321700176274</v>
      </c>
      <c r="Z7" s="547">
        <f t="shared" si="0"/>
        <v>1.4719253099280327</v>
      </c>
      <c r="AA7" s="547">
        <f t="shared" si="0"/>
        <v>1.5057795920563775</v>
      </c>
      <c r="AB7" s="547">
        <f t="shared" si="0"/>
        <v>1.5404125226736738</v>
      </c>
      <c r="AC7" s="547">
        <f t="shared" si="0"/>
        <v>1.5758420106951683</v>
      </c>
      <c r="AD7" s="547">
        <f t="shared" si="0"/>
        <v>1.6120863769411569</v>
      </c>
      <c r="AE7" s="547">
        <f t="shared" si="0"/>
        <v>1.6491643636108035</v>
      </c>
      <c r="AF7" s="547">
        <f t="shared" si="0"/>
        <v>1.6870951439738515</v>
      </c>
      <c r="AG7" s="547">
        <f t="shared" si="0"/>
        <v>1.7258983322852501</v>
      </c>
      <c r="AH7" s="547">
        <f t="shared" si="0"/>
        <v>1.7655939939278107</v>
      </c>
      <c r="AI7" s="547">
        <f t="shared" si="0"/>
        <v>1.8062026557881501</v>
      </c>
      <c r="AJ7" s="547">
        <f t="shared" si="0"/>
        <v>1.8477453168712774</v>
      </c>
      <c r="AK7" s="547">
        <f t="shared" si="0"/>
        <v>1.8902434591593167</v>
      </c>
      <c r="AL7" s="454">
        <f t="shared" si="0"/>
        <v>1.9337190587199808</v>
      </c>
      <c r="AM7" s="468"/>
      <c r="AN7" s="467"/>
      <c r="AP7" s="545">
        <v>5</v>
      </c>
      <c r="AQ7" s="545">
        <v>2</v>
      </c>
      <c r="AR7" s="545">
        <v>7</v>
      </c>
    </row>
    <row r="8" spans="1:44" ht="16.2" thickBot="1">
      <c r="A8" s="474" t="s">
        <v>66</v>
      </c>
      <c r="B8" s="478" t="s">
        <v>65</v>
      </c>
      <c r="C8" s="475">
        <v>0.2</v>
      </c>
      <c r="D8" s="532"/>
      <c r="E8" s="467"/>
      <c r="F8" s="468"/>
      <c r="G8" s="448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61"/>
      <c r="AM8" s="468"/>
      <c r="AN8" s="467"/>
      <c r="AP8" s="545">
        <v>7</v>
      </c>
      <c r="AQ8" s="545">
        <v>3</v>
      </c>
    </row>
    <row r="9" spans="1:44" ht="16.2" thickBot="1">
      <c r="A9" s="474" t="s">
        <v>67</v>
      </c>
      <c r="B9" s="478" t="s">
        <v>65</v>
      </c>
      <c r="C9" s="475">
        <v>0.3</v>
      </c>
      <c r="D9" s="532"/>
      <c r="E9" s="467"/>
      <c r="F9" s="468"/>
      <c r="G9" s="487" t="s">
        <v>18</v>
      </c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3"/>
      <c r="AM9" s="468"/>
      <c r="AN9" s="467"/>
      <c r="AP9" s="545">
        <v>10</v>
      </c>
      <c r="AQ9" s="545">
        <v>4</v>
      </c>
    </row>
    <row r="10" spans="1:44" ht="15.6">
      <c r="A10" s="495" t="s">
        <v>3</v>
      </c>
      <c r="B10" s="508"/>
      <c r="C10" s="483"/>
      <c r="D10" s="532"/>
      <c r="E10" s="467"/>
      <c r="F10" s="468"/>
      <c r="G10" s="541" t="s">
        <v>3</v>
      </c>
      <c r="H10" s="441"/>
      <c r="I10" s="428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61"/>
      <c r="AM10" s="468"/>
      <c r="AN10" s="467"/>
      <c r="AP10" s="545">
        <v>15</v>
      </c>
      <c r="AQ10" s="545">
        <v>5</v>
      </c>
    </row>
    <row r="11" spans="1:44" ht="15.6">
      <c r="A11" s="474" t="s">
        <v>69</v>
      </c>
      <c r="B11" s="509" t="s">
        <v>80</v>
      </c>
      <c r="C11" s="476">
        <v>45</v>
      </c>
      <c r="D11" s="532"/>
      <c r="E11" s="467"/>
      <c r="F11" s="468"/>
      <c r="G11" s="550" t="s">
        <v>19</v>
      </c>
      <c r="H11" s="529"/>
      <c r="I11" s="536">
        <f t="shared" ref="I11:AL11" si="1">IF(I6&gt;$C$31,0,($C$16+$C$7*$C$8*$AQ$39*IF($C$20&lt;&gt;0,MAX((($C$20+1-I6)/$C$20),0),0)*12*1000)*$C$7*$C$8*I7*(1+0.0025)^(I6-1))</f>
        <v>1454150.4000000001</v>
      </c>
      <c r="J11" s="536">
        <f t="shared" si="1"/>
        <v>1497888.5903783999</v>
      </c>
      <c r="K11" s="536">
        <f t="shared" si="1"/>
        <v>1542912.627956559</v>
      </c>
      <c r="L11" s="536">
        <f t="shared" si="1"/>
        <v>1589259.6696489463</v>
      </c>
      <c r="M11" s="536">
        <f t="shared" si="1"/>
        <v>1636967.9317485751</v>
      </c>
      <c r="N11" s="536">
        <f t="shared" si="1"/>
        <v>1686076.7198067661</v>
      </c>
      <c r="O11" s="536">
        <f t="shared" si="1"/>
        <v>1729168.6255732274</v>
      </c>
      <c r="P11" s="536">
        <f t="shared" si="1"/>
        <v>1773361.8527213144</v>
      </c>
      <c r="Q11" s="536">
        <f t="shared" si="1"/>
        <v>1818684.5482722395</v>
      </c>
      <c r="R11" s="536">
        <f t="shared" si="1"/>
        <v>1865165.5786147071</v>
      </c>
      <c r="S11" s="536">
        <f t="shared" si="1"/>
        <v>1912834.5478901519</v>
      </c>
      <c r="T11" s="536">
        <f t="shared" si="1"/>
        <v>1961721.8168478543</v>
      </c>
      <c r="U11" s="536">
        <f t="shared" si="1"/>
        <v>2011858.5221819433</v>
      </c>
      <c r="V11" s="536">
        <f t="shared" si="1"/>
        <v>2063276.596362608</v>
      </c>
      <c r="W11" s="536">
        <f t="shared" si="1"/>
        <v>2116008.7879741448</v>
      </c>
      <c r="X11" s="536">
        <f t="shared" si="1"/>
        <v>2170088.6825727932</v>
      </c>
      <c r="Y11" s="536">
        <f t="shared" si="1"/>
        <v>2225550.7240776476</v>
      </c>
      <c r="Z11" s="536">
        <f t="shared" si="1"/>
        <v>2282430.2367082615</v>
      </c>
      <c r="AA11" s="536">
        <f t="shared" si="1"/>
        <v>2340763.4474829333</v>
      </c>
      <c r="AB11" s="536">
        <f t="shared" si="1"/>
        <v>2400587.5092919772</v>
      </c>
      <c r="AC11" s="536">
        <f t="shared" si="1"/>
        <v>0</v>
      </c>
      <c r="AD11" s="536">
        <f t="shared" si="1"/>
        <v>0</v>
      </c>
      <c r="AE11" s="536">
        <f t="shared" si="1"/>
        <v>0</v>
      </c>
      <c r="AF11" s="536">
        <f t="shared" si="1"/>
        <v>0</v>
      </c>
      <c r="AG11" s="536">
        <f t="shared" si="1"/>
        <v>0</v>
      </c>
      <c r="AH11" s="536">
        <f t="shared" si="1"/>
        <v>0</v>
      </c>
      <c r="AI11" s="536">
        <f t="shared" si="1"/>
        <v>0</v>
      </c>
      <c r="AJ11" s="536">
        <f t="shared" si="1"/>
        <v>0</v>
      </c>
      <c r="AK11" s="536">
        <f t="shared" si="1"/>
        <v>0</v>
      </c>
      <c r="AL11" s="515">
        <f t="shared" si="1"/>
        <v>0</v>
      </c>
      <c r="AM11" s="468"/>
      <c r="AN11" s="467"/>
      <c r="AP11" s="545">
        <v>20</v>
      </c>
      <c r="AQ11" s="545">
        <v>6</v>
      </c>
    </row>
    <row r="12" spans="1:44" ht="15.6">
      <c r="A12" s="474" t="s">
        <v>100</v>
      </c>
      <c r="B12" s="569" t="s">
        <v>80</v>
      </c>
      <c r="C12" s="476">
        <v>23</v>
      </c>
      <c r="D12" s="532"/>
      <c r="E12" s="467"/>
      <c r="F12" s="468"/>
      <c r="G12" s="551" t="s">
        <v>2</v>
      </c>
      <c r="H12" s="528"/>
      <c r="I12" s="534">
        <f t="shared" ref="I12:AL12" si="2">MAX(0,IF(I$6&gt;$C$31,0,IF($C$21=0,$C$14,IF($C$21=1,$C$14*I7,$C$14*(I7^$C$21)))))</f>
        <v>11826000</v>
      </c>
      <c r="J12" s="534">
        <f t="shared" si="2"/>
        <v>12097997.999999998</v>
      </c>
      <c r="K12" s="534">
        <f t="shared" si="2"/>
        <v>12376251.953999998</v>
      </c>
      <c r="L12" s="534">
        <f t="shared" si="2"/>
        <v>12660905.748941997</v>
      </c>
      <c r="M12" s="534">
        <f t="shared" si="2"/>
        <v>12952106.581167661</v>
      </c>
      <c r="N12" s="534">
        <f t="shared" si="2"/>
        <v>13250005.032534515</v>
      </c>
      <c r="O12" s="534">
        <f t="shared" si="2"/>
        <v>13554755.148282809</v>
      </c>
      <c r="P12" s="534">
        <f t="shared" si="2"/>
        <v>13866514.516693311</v>
      </c>
      <c r="Q12" s="534">
        <f t="shared" si="2"/>
        <v>14185444.350577256</v>
      </c>
      <c r="R12" s="534">
        <f t="shared" si="2"/>
        <v>14511709.570640532</v>
      </c>
      <c r="S12" s="534">
        <f t="shared" si="2"/>
        <v>14845478.890765263</v>
      </c>
      <c r="T12" s="534">
        <f t="shared" si="2"/>
        <v>15186924.905252863</v>
      </c>
      <c r="U12" s="534">
        <f t="shared" si="2"/>
        <v>15536224.178073678</v>
      </c>
      <c r="V12" s="534">
        <f t="shared" si="2"/>
        <v>15893557.334169369</v>
      </c>
      <c r="W12" s="534">
        <f t="shared" si="2"/>
        <v>16259109.152855266</v>
      </c>
      <c r="X12" s="534">
        <f t="shared" si="2"/>
        <v>16633068.663370932</v>
      </c>
      <c r="Y12" s="534">
        <f t="shared" si="2"/>
        <v>17015629.242628463</v>
      </c>
      <c r="Z12" s="534">
        <f t="shared" si="2"/>
        <v>17406988.715208914</v>
      </c>
      <c r="AA12" s="534">
        <f t="shared" si="2"/>
        <v>17807349.455658719</v>
      </c>
      <c r="AB12" s="534">
        <f t="shared" si="2"/>
        <v>18216918.493138865</v>
      </c>
      <c r="AC12" s="534">
        <f t="shared" si="2"/>
        <v>0</v>
      </c>
      <c r="AD12" s="534">
        <f t="shared" si="2"/>
        <v>0</v>
      </c>
      <c r="AE12" s="534">
        <f t="shared" si="2"/>
        <v>0</v>
      </c>
      <c r="AF12" s="534">
        <f t="shared" si="2"/>
        <v>0</v>
      </c>
      <c r="AG12" s="534">
        <f t="shared" si="2"/>
        <v>0</v>
      </c>
      <c r="AH12" s="534">
        <f t="shared" si="2"/>
        <v>0</v>
      </c>
      <c r="AI12" s="534">
        <f t="shared" si="2"/>
        <v>0</v>
      </c>
      <c r="AJ12" s="534">
        <f t="shared" si="2"/>
        <v>0</v>
      </c>
      <c r="AK12" s="534">
        <f t="shared" si="2"/>
        <v>0</v>
      </c>
      <c r="AL12" s="465">
        <f t="shared" si="2"/>
        <v>0</v>
      </c>
      <c r="AM12" s="468"/>
      <c r="AN12" s="467"/>
      <c r="AP12" s="545"/>
      <c r="AQ12" s="545">
        <v>7</v>
      </c>
    </row>
    <row r="13" spans="1:44" ht="15.6">
      <c r="A13" s="474" t="s">
        <v>134</v>
      </c>
      <c r="B13" s="569" t="s">
        <v>80</v>
      </c>
      <c r="C13" s="476">
        <v>25</v>
      </c>
      <c r="D13" s="532"/>
      <c r="E13" s="467"/>
      <c r="F13" s="468"/>
      <c r="G13" s="551" t="s">
        <v>132</v>
      </c>
      <c r="H13" s="528"/>
      <c r="I13" s="534">
        <f t="shared" ref="I13:AL13" si="3">MAX(0,IF(I$6&gt;$C$31,0,IF($C$21=0,$C$15,IF($C$21=1,$C$15*I7,$C$15*(I7^$C$21)))))</f>
        <v>6570000</v>
      </c>
      <c r="J13" s="534">
        <f t="shared" si="3"/>
        <v>6721109.9999999991</v>
      </c>
      <c r="K13" s="534">
        <f t="shared" si="3"/>
        <v>6875695.5299999984</v>
      </c>
      <c r="L13" s="534">
        <f t="shared" si="3"/>
        <v>7033836.527189998</v>
      </c>
      <c r="M13" s="534">
        <f t="shared" si="3"/>
        <v>7195614.7673153672</v>
      </c>
      <c r="N13" s="534">
        <f t="shared" si="3"/>
        <v>7361113.9069636194</v>
      </c>
      <c r="O13" s="534">
        <f t="shared" si="3"/>
        <v>7530419.5268237833</v>
      </c>
      <c r="P13" s="534">
        <f t="shared" si="3"/>
        <v>7703619.1759407287</v>
      </c>
      <c r="Q13" s="534">
        <f t="shared" si="3"/>
        <v>7880802.4169873651</v>
      </c>
      <c r="R13" s="534">
        <f t="shared" si="3"/>
        <v>8062060.8725780733</v>
      </c>
      <c r="S13" s="534">
        <f t="shared" si="3"/>
        <v>8247488.2726473678</v>
      </c>
      <c r="T13" s="534">
        <f t="shared" si="3"/>
        <v>8437180.5029182564</v>
      </c>
      <c r="U13" s="534">
        <f t="shared" si="3"/>
        <v>8631235.6544853766</v>
      </c>
      <c r="V13" s="534">
        <f t="shared" si="3"/>
        <v>8829754.0745385382</v>
      </c>
      <c r="W13" s="534">
        <f t="shared" si="3"/>
        <v>9032838.4182529245</v>
      </c>
      <c r="X13" s="534">
        <f t="shared" si="3"/>
        <v>9240593.7018727399</v>
      </c>
      <c r="Y13" s="534">
        <f t="shared" si="3"/>
        <v>9453127.3570158128</v>
      </c>
      <c r="Z13" s="534">
        <f t="shared" si="3"/>
        <v>9670549.2862271741</v>
      </c>
      <c r="AA13" s="534">
        <f t="shared" si="3"/>
        <v>9892971.9198103994</v>
      </c>
      <c r="AB13" s="534">
        <f t="shared" si="3"/>
        <v>10120510.273966037</v>
      </c>
      <c r="AC13" s="534">
        <f t="shared" si="3"/>
        <v>0</v>
      </c>
      <c r="AD13" s="534">
        <f t="shared" si="3"/>
        <v>0</v>
      </c>
      <c r="AE13" s="534">
        <f t="shared" si="3"/>
        <v>0</v>
      </c>
      <c r="AF13" s="534">
        <f t="shared" si="3"/>
        <v>0</v>
      </c>
      <c r="AG13" s="534">
        <f t="shared" si="3"/>
        <v>0</v>
      </c>
      <c r="AH13" s="534">
        <f t="shared" si="3"/>
        <v>0</v>
      </c>
      <c r="AI13" s="534">
        <f t="shared" si="3"/>
        <v>0</v>
      </c>
      <c r="AJ13" s="534">
        <f t="shared" si="3"/>
        <v>0</v>
      </c>
      <c r="AK13" s="534">
        <f t="shared" si="3"/>
        <v>0</v>
      </c>
      <c r="AL13" s="465">
        <f t="shared" si="3"/>
        <v>0</v>
      </c>
      <c r="AM13" s="468"/>
      <c r="AN13" s="467"/>
      <c r="AP13" s="545"/>
      <c r="AQ13" s="545">
        <v>8</v>
      </c>
    </row>
    <row r="14" spans="1:44" ht="16.2" thickBot="1">
      <c r="A14" s="470" t="s">
        <v>70</v>
      </c>
      <c r="B14" s="420" t="s">
        <v>89</v>
      </c>
      <c r="C14" s="456">
        <f>C11*C9*C7*8760</f>
        <v>11826000</v>
      </c>
      <c r="D14" s="532"/>
      <c r="E14" s="467"/>
      <c r="F14" s="468"/>
      <c r="G14" s="443" t="s">
        <v>20</v>
      </c>
      <c r="H14" s="527"/>
      <c r="I14" s="433">
        <f>SUM(I11:I13)</f>
        <v>19850150.399999999</v>
      </c>
      <c r="J14" s="433">
        <f t="shared" ref="J14:AL14" si="4">SUM(J11:J13)</f>
        <v>20316996.590378396</v>
      </c>
      <c r="K14" s="433">
        <f t="shared" si="4"/>
        <v>20794860.111956555</v>
      </c>
      <c r="L14" s="433">
        <f t="shared" si="4"/>
        <v>21284001.94578094</v>
      </c>
      <c r="M14" s="433">
        <f t="shared" si="4"/>
        <v>21784689.280231602</v>
      </c>
      <c r="N14" s="433">
        <f t="shared" si="4"/>
        <v>22297195.659304902</v>
      </c>
      <c r="O14" s="433">
        <f t="shared" si="4"/>
        <v>22814343.300679818</v>
      </c>
      <c r="P14" s="433">
        <f t="shared" si="4"/>
        <v>23343495.545355354</v>
      </c>
      <c r="Q14" s="433">
        <f t="shared" si="4"/>
        <v>23884931.315836862</v>
      </c>
      <c r="R14" s="433">
        <f t="shared" si="4"/>
        <v>24438936.021833312</v>
      </c>
      <c r="S14" s="433">
        <f t="shared" si="4"/>
        <v>25005801.71130278</v>
      </c>
      <c r="T14" s="433">
        <f t="shared" si="4"/>
        <v>25585827.225018971</v>
      </c>
      <c r="U14" s="433">
        <f t="shared" si="4"/>
        <v>26179318.354741</v>
      </c>
      <c r="V14" s="433">
        <f t="shared" si="4"/>
        <v>26786588.005070515</v>
      </c>
      <c r="W14" s="433">
        <f t="shared" si="4"/>
        <v>27407956.359082334</v>
      </c>
      <c r="X14" s="433">
        <f t="shared" si="4"/>
        <v>28043751.047816467</v>
      </c>
      <c r="Y14" s="433">
        <f t="shared" si="4"/>
        <v>28694307.323721923</v>
      </c>
      <c r="Z14" s="433">
        <f t="shared" si="4"/>
        <v>29359968.238144349</v>
      </c>
      <c r="AA14" s="433">
        <f t="shared" si="4"/>
        <v>30041084.822952051</v>
      </c>
      <c r="AB14" s="433">
        <f t="shared" si="4"/>
        <v>30738016.276396878</v>
      </c>
      <c r="AC14" s="433">
        <f t="shared" si="4"/>
        <v>0</v>
      </c>
      <c r="AD14" s="433">
        <f t="shared" si="4"/>
        <v>0</v>
      </c>
      <c r="AE14" s="433">
        <f t="shared" si="4"/>
        <v>0</v>
      </c>
      <c r="AF14" s="433">
        <f t="shared" si="4"/>
        <v>0</v>
      </c>
      <c r="AG14" s="433">
        <f t="shared" si="4"/>
        <v>0</v>
      </c>
      <c r="AH14" s="433">
        <f t="shared" si="4"/>
        <v>0</v>
      </c>
      <c r="AI14" s="433">
        <f t="shared" si="4"/>
        <v>0</v>
      </c>
      <c r="AJ14" s="433">
        <f t="shared" si="4"/>
        <v>0</v>
      </c>
      <c r="AK14" s="433">
        <f t="shared" si="4"/>
        <v>0</v>
      </c>
      <c r="AL14" s="503">
        <f t="shared" si="4"/>
        <v>0</v>
      </c>
      <c r="AM14" s="468"/>
      <c r="AN14" s="467"/>
      <c r="AP14" s="545"/>
      <c r="AQ14" s="545">
        <v>9</v>
      </c>
    </row>
    <row r="15" spans="1:44" ht="16.2" thickTop="1">
      <c r="A15" s="474" t="s">
        <v>132</v>
      </c>
      <c r="B15" s="420" t="s">
        <v>89</v>
      </c>
      <c r="C15" s="456">
        <f>C13*C9*C7*8760</f>
        <v>6570000</v>
      </c>
      <c r="D15" s="422"/>
      <c r="E15" s="467"/>
      <c r="F15" s="468"/>
      <c r="G15" s="444" t="s">
        <v>4</v>
      </c>
      <c r="H15" s="439"/>
      <c r="I15" s="533"/>
      <c r="J15" s="418"/>
      <c r="K15" s="418"/>
      <c r="L15" s="418"/>
      <c r="M15" s="418"/>
      <c r="N15" s="418"/>
      <c r="O15" s="418"/>
      <c r="P15" s="418"/>
      <c r="Q15" s="418"/>
      <c r="R15" s="418"/>
      <c r="S15" s="481"/>
      <c r="T15" s="496"/>
      <c r="U15" s="481"/>
      <c r="V15" s="481"/>
      <c r="W15" s="481"/>
      <c r="X15" s="481"/>
      <c r="Y15" s="481"/>
      <c r="Z15" s="418"/>
      <c r="AA15" s="418"/>
      <c r="AB15" s="418"/>
      <c r="AC15" s="418"/>
      <c r="AD15" s="418"/>
      <c r="AE15" s="418"/>
      <c r="AF15" s="418"/>
      <c r="AG15" s="418"/>
      <c r="AH15" s="418"/>
      <c r="AI15" s="481"/>
      <c r="AJ15" s="496"/>
      <c r="AK15" s="481"/>
      <c r="AL15" s="459"/>
      <c r="AM15" s="468"/>
      <c r="AN15" s="467"/>
      <c r="AP15" s="545"/>
      <c r="AQ15" s="545">
        <v>10</v>
      </c>
    </row>
    <row r="16" spans="1:44" ht="15.6">
      <c r="A16" s="474" t="s">
        <v>47</v>
      </c>
      <c r="B16" s="420" t="s">
        <v>87</v>
      </c>
      <c r="C16" s="506">
        <f>'ICAP Price&amp;Impact'!O28</f>
        <v>74310</v>
      </c>
      <c r="E16" s="467"/>
      <c r="F16" s="468"/>
      <c r="G16" s="550" t="s">
        <v>5</v>
      </c>
      <c r="H16" s="529"/>
      <c r="I16" s="536">
        <f>IF(I6&gt;$C$31,0,-$C$35)</f>
        <v>-4500000</v>
      </c>
      <c r="J16" s="523">
        <f t="shared" ref="J16:AL16" si="5">IF(J6&gt;$C$31,0,$I$16*J7)</f>
        <v>-4603500</v>
      </c>
      <c r="K16" s="523">
        <f t="shared" si="5"/>
        <v>-4709380.4999999991</v>
      </c>
      <c r="L16" s="523">
        <f t="shared" si="5"/>
        <v>-4817696.2514999984</v>
      </c>
      <c r="M16" s="523">
        <f t="shared" si="5"/>
        <v>-4928503.2652844982</v>
      </c>
      <c r="N16" s="523">
        <f t="shared" si="5"/>
        <v>-5041858.8403860405</v>
      </c>
      <c r="O16" s="523">
        <f t="shared" si="5"/>
        <v>-5157821.5937149199</v>
      </c>
      <c r="P16" s="523">
        <f t="shared" si="5"/>
        <v>-5276451.4903703621</v>
      </c>
      <c r="Q16" s="523">
        <f t="shared" si="5"/>
        <v>-5397809.8746488802</v>
      </c>
      <c r="R16" s="523">
        <f t="shared" si="5"/>
        <v>-5521959.5017658034</v>
      </c>
      <c r="S16" s="497">
        <f t="shared" si="5"/>
        <v>-5648964.5703064166</v>
      </c>
      <c r="T16" s="497">
        <f t="shared" si="5"/>
        <v>-5778890.7554234639</v>
      </c>
      <c r="U16" s="497">
        <f t="shared" si="5"/>
        <v>-5911805.2427982027</v>
      </c>
      <c r="V16" s="497">
        <f t="shared" si="5"/>
        <v>-6047776.7633825606</v>
      </c>
      <c r="W16" s="497">
        <f t="shared" si="5"/>
        <v>-6186875.6289403597</v>
      </c>
      <c r="X16" s="497">
        <f t="shared" si="5"/>
        <v>-6329173.768405986</v>
      </c>
      <c r="Y16" s="497">
        <f t="shared" si="5"/>
        <v>-6474744.7650793232</v>
      </c>
      <c r="Z16" s="497">
        <f t="shared" si="5"/>
        <v>-6623663.894676147</v>
      </c>
      <c r="AA16" s="497">
        <f t="shared" si="5"/>
        <v>-6776008.1642536987</v>
      </c>
      <c r="AB16" s="497">
        <f t="shared" si="5"/>
        <v>-6931856.3520315317</v>
      </c>
      <c r="AC16" s="497">
        <f t="shared" si="5"/>
        <v>0</v>
      </c>
      <c r="AD16" s="497">
        <f t="shared" si="5"/>
        <v>0</v>
      </c>
      <c r="AE16" s="497">
        <f t="shared" si="5"/>
        <v>0</v>
      </c>
      <c r="AF16" s="497">
        <f t="shared" si="5"/>
        <v>0</v>
      </c>
      <c r="AG16" s="497">
        <f t="shared" si="5"/>
        <v>0</v>
      </c>
      <c r="AH16" s="497">
        <f t="shared" si="5"/>
        <v>0</v>
      </c>
      <c r="AI16" s="497">
        <f t="shared" si="5"/>
        <v>0</v>
      </c>
      <c r="AJ16" s="497">
        <f t="shared" si="5"/>
        <v>0</v>
      </c>
      <c r="AK16" s="497">
        <f t="shared" si="5"/>
        <v>0</v>
      </c>
      <c r="AL16" s="458">
        <f t="shared" si="5"/>
        <v>0</v>
      </c>
      <c r="AM16" s="468"/>
      <c r="AN16" s="467"/>
      <c r="AQ16" s="545">
        <v>11</v>
      </c>
    </row>
    <row r="17" spans="1:43" ht="15.6">
      <c r="A17" s="474" t="s">
        <v>102</v>
      </c>
      <c r="B17" s="530" t="s">
        <v>65</v>
      </c>
      <c r="C17" s="457">
        <v>1</v>
      </c>
      <c r="D17" s="422"/>
      <c r="E17" s="467"/>
      <c r="F17" s="468"/>
      <c r="G17" s="550" t="s">
        <v>6</v>
      </c>
      <c r="H17" s="529"/>
      <c r="I17" s="534">
        <f>IF(I6&gt;$C$31,0,-$C$36)</f>
        <v>0</v>
      </c>
      <c r="J17" s="440">
        <f t="shared" ref="J17:AL17" si="6">IF(J6&gt;$C$31,0,$I$17*J7)</f>
        <v>0</v>
      </c>
      <c r="K17" s="440">
        <f t="shared" si="6"/>
        <v>0</v>
      </c>
      <c r="L17" s="440">
        <f t="shared" si="6"/>
        <v>0</v>
      </c>
      <c r="M17" s="440">
        <f t="shared" si="6"/>
        <v>0</v>
      </c>
      <c r="N17" s="440">
        <f t="shared" si="6"/>
        <v>0</v>
      </c>
      <c r="O17" s="440">
        <f t="shared" si="6"/>
        <v>0</v>
      </c>
      <c r="P17" s="440">
        <f t="shared" si="6"/>
        <v>0</v>
      </c>
      <c r="Q17" s="440">
        <f t="shared" si="6"/>
        <v>0</v>
      </c>
      <c r="R17" s="440">
        <f t="shared" si="6"/>
        <v>0</v>
      </c>
      <c r="S17" s="507">
        <f t="shared" si="6"/>
        <v>0</v>
      </c>
      <c r="T17" s="507">
        <f t="shared" si="6"/>
        <v>0</v>
      </c>
      <c r="U17" s="507">
        <f t="shared" si="6"/>
        <v>0</v>
      </c>
      <c r="V17" s="507">
        <f t="shared" si="6"/>
        <v>0</v>
      </c>
      <c r="W17" s="507">
        <f t="shared" si="6"/>
        <v>0</v>
      </c>
      <c r="X17" s="507">
        <f t="shared" si="6"/>
        <v>0</v>
      </c>
      <c r="Y17" s="507">
        <f t="shared" si="6"/>
        <v>0</v>
      </c>
      <c r="Z17" s="507">
        <f t="shared" si="6"/>
        <v>0</v>
      </c>
      <c r="AA17" s="507">
        <f t="shared" si="6"/>
        <v>0</v>
      </c>
      <c r="AB17" s="507">
        <f t="shared" si="6"/>
        <v>0</v>
      </c>
      <c r="AC17" s="507">
        <f t="shared" si="6"/>
        <v>0</v>
      </c>
      <c r="AD17" s="507">
        <f t="shared" si="6"/>
        <v>0</v>
      </c>
      <c r="AE17" s="507">
        <f t="shared" si="6"/>
        <v>0</v>
      </c>
      <c r="AF17" s="507">
        <f t="shared" si="6"/>
        <v>0</v>
      </c>
      <c r="AG17" s="507">
        <f t="shared" si="6"/>
        <v>0</v>
      </c>
      <c r="AH17" s="507">
        <f t="shared" si="6"/>
        <v>0</v>
      </c>
      <c r="AI17" s="507">
        <f t="shared" si="6"/>
        <v>0</v>
      </c>
      <c r="AJ17" s="507">
        <f t="shared" si="6"/>
        <v>0</v>
      </c>
      <c r="AK17" s="507">
        <f t="shared" si="6"/>
        <v>0</v>
      </c>
      <c r="AL17" s="458">
        <f t="shared" si="6"/>
        <v>0</v>
      </c>
      <c r="AM17" s="468"/>
      <c r="AN17" s="467"/>
      <c r="AQ17" s="545">
        <v>12</v>
      </c>
    </row>
    <row r="18" spans="1:43" ht="15.6">
      <c r="A18" s="474" t="s">
        <v>103</v>
      </c>
      <c r="B18" s="530" t="s">
        <v>65</v>
      </c>
      <c r="C18" s="457">
        <v>1</v>
      </c>
      <c r="D18" s="422"/>
      <c r="E18" s="467"/>
      <c r="F18" s="468"/>
      <c r="G18" s="550" t="s">
        <v>7</v>
      </c>
      <c r="H18" s="529"/>
      <c r="I18" s="534">
        <f t="shared" ref="I18:AL18" si="7">IF(I6&gt;$C$31,0,-$C$37)</f>
        <v>0</v>
      </c>
      <c r="J18" s="534">
        <f t="shared" si="7"/>
        <v>0</v>
      </c>
      <c r="K18" s="534">
        <f t="shared" si="7"/>
        <v>0</v>
      </c>
      <c r="L18" s="534">
        <f t="shared" si="7"/>
        <v>0</v>
      </c>
      <c r="M18" s="534">
        <f t="shared" si="7"/>
        <v>0</v>
      </c>
      <c r="N18" s="534">
        <f t="shared" si="7"/>
        <v>0</v>
      </c>
      <c r="O18" s="534">
        <f t="shared" si="7"/>
        <v>0</v>
      </c>
      <c r="P18" s="534">
        <f t="shared" si="7"/>
        <v>0</v>
      </c>
      <c r="Q18" s="534">
        <f t="shared" si="7"/>
        <v>0</v>
      </c>
      <c r="R18" s="534">
        <f t="shared" si="7"/>
        <v>0</v>
      </c>
      <c r="S18" s="489">
        <f t="shared" si="7"/>
        <v>0</v>
      </c>
      <c r="T18" s="489">
        <f t="shared" si="7"/>
        <v>0</v>
      </c>
      <c r="U18" s="489">
        <f t="shared" si="7"/>
        <v>0</v>
      </c>
      <c r="V18" s="489">
        <f t="shared" si="7"/>
        <v>0</v>
      </c>
      <c r="W18" s="489">
        <f t="shared" si="7"/>
        <v>0</v>
      </c>
      <c r="X18" s="489">
        <f t="shared" si="7"/>
        <v>0</v>
      </c>
      <c r="Y18" s="489">
        <f t="shared" si="7"/>
        <v>0</v>
      </c>
      <c r="Z18" s="534">
        <f t="shared" si="7"/>
        <v>0</v>
      </c>
      <c r="AA18" s="534">
        <f t="shared" si="7"/>
        <v>0</v>
      </c>
      <c r="AB18" s="534">
        <f t="shared" si="7"/>
        <v>0</v>
      </c>
      <c r="AC18" s="534">
        <f t="shared" si="7"/>
        <v>0</v>
      </c>
      <c r="AD18" s="534">
        <f t="shared" si="7"/>
        <v>0</v>
      </c>
      <c r="AE18" s="534">
        <f t="shared" si="7"/>
        <v>0</v>
      </c>
      <c r="AF18" s="534">
        <f t="shared" si="7"/>
        <v>0</v>
      </c>
      <c r="AG18" s="534">
        <f t="shared" si="7"/>
        <v>0</v>
      </c>
      <c r="AH18" s="534">
        <f t="shared" si="7"/>
        <v>0</v>
      </c>
      <c r="AI18" s="489">
        <f t="shared" si="7"/>
        <v>0</v>
      </c>
      <c r="AJ18" s="489">
        <f t="shared" si="7"/>
        <v>0</v>
      </c>
      <c r="AK18" s="489">
        <f t="shared" si="7"/>
        <v>0</v>
      </c>
      <c r="AL18" s="458">
        <f t="shared" si="7"/>
        <v>0</v>
      </c>
      <c r="AM18" s="468"/>
      <c r="AN18" s="467"/>
      <c r="AQ18" s="545">
        <v>13</v>
      </c>
    </row>
    <row r="19" spans="1:43" ht="15.6">
      <c r="A19" s="470" t="s">
        <v>78</v>
      </c>
      <c r="B19" s="478"/>
      <c r="C19" s="542">
        <f>-C17*'ICAP Price&amp;Impact'!P38-C18*'ICAP Price&amp;Impact'!P19</f>
        <v>81824368.180000067</v>
      </c>
      <c r="D19" s="422"/>
      <c r="E19" s="467"/>
      <c r="F19" s="468"/>
      <c r="G19" s="550" t="s">
        <v>149</v>
      </c>
      <c r="H19" s="529"/>
      <c r="I19" s="534">
        <f>IF(I6&gt;$C$31,0,-$C$38)</f>
        <v>0</v>
      </c>
      <c r="J19" s="534">
        <f t="shared" ref="J19:AL19" si="8">IF(J6&gt;$C$31,0,-$C$38)</f>
        <v>0</v>
      </c>
      <c r="K19" s="534">
        <f t="shared" si="8"/>
        <v>0</v>
      </c>
      <c r="L19" s="534">
        <f t="shared" si="8"/>
        <v>0</v>
      </c>
      <c r="M19" s="534">
        <f t="shared" si="8"/>
        <v>0</v>
      </c>
      <c r="N19" s="534">
        <f t="shared" si="8"/>
        <v>0</v>
      </c>
      <c r="O19" s="534">
        <f t="shared" si="8"/>
        <v>0</v>
      </c>
      <c r="P19" s="534">
        <f t="shared" si="8"/>
        <v>0</v>
      </c>
      <c r="Q19" s="534">
        <f t="shared" si="8"/>
        <v>0</v>
      </c>
      <c r="R19" s="534">
        <f t="shared" si="8"/>
        <v>0</v>
      </c>
      <c r="S19" s="489">
        <f t="shared" si="8"/>
        <v>0</v>
      </c>
      <c r="T19" s="489">
        <f t="shared" si="8"/>
        <v>0</v>
      </c>
      <c r="U19" s="489">
        <f t="shared" si="8"/>
        <v>0</v>
      </c>
      <c r="V19" s="489">
        <f t="shared" si="8"/>
        <v>0</v>
      </c>
      <c r="W19" s="489">
        <f t="shared" si="8"/>
        <v>0</v>
      </c>
      <c r="X19" s="489">
        <f t="shared" si="8"/>
        <v>0</v>
      </c>
      <c r="Y19" s="489">
        <f t="shared" si="8"/>
        <v>0</v>
      </c>
      <c r="Z19" s="534">
        <f t="shared" si="8"/>
        <v>0</v>
      </c>
      <c r="AA19" s="534">
        <f t="shared" si="8"/>
        <v>0</v>
      </c>
      <c r="AB19" s="534">
        <f t="shared" si="8"/>
        <v>0</v>
      </c>
      <c r="AC19" s="534">
        <f t="shared" si="8"/>
        <v>0</v>
      </c>
      <c r="AD19" s="534">
        <f t="shared" si="8"/>
        <v>0</v>
      </c>
      <c r="AE19" s="534">
        <f t="shared" si="8"/>
        <v>0</v>
      </c>
      <c r="AF19" s="534">
        <f t="shared" si="8"/>
        <v>0</v>
      </c>
      <c r="AG19" s="534">
        <f t="shared" si="8"/>
        <v>0</v>
      </c>
      <c r="AH19" s="534">
        <f t="shared" si="8"/>
        <v>0</v>
      </c>
      <c r="AI19" s="489">
        <f t="shared" si="8"/>
        <v>0</v>
      </c>
      <c r="AJ19" s="489">
        <f t="shared" si="8"/>
        <v>0</v>
      </c>
      <c r="AK19" s="489">
        <f t="shared" si="8"/>
        <v>0</v>
      </c>
      <c r="AL19" s="458">
        <f t="shared" si="8"/>
        <v>0</v>
      </c>
      <c r="AM19" s="468"/>
      <c r="AN19" s="467"/>
      <c r="AQ19" s="545">
        <v>14</v>
      </c>
    </row>
    <row r="20" spans="1:43" ht="16.2" thickBot="1">
      <c r="A20" s="474" t="s">
        <v>76</v>
      </c>
      <c r="B20" s="543" t="s">
        <v>88</v>
      </c>
      <c r="C20" s="463">
        <v>5</v>
      </c>
      <c r="D20" s="423"/>
      <c r="E20" s="467"/>
      <c r="F20" s="468"/>
      <c r="G20" s="445" t="s">
        <v>21</v>
      </c>
      <c r="H20" s="526"/>
      <c r="I20" s="435">
        <f>SUM(I16:I19)</f>
        <v>-4500000</v>
      </c>
      <c r="J20" s="436">
        <f t="shared" ref="J20:AL20" si="9">SUM(J16:J19)</f>
        <v>-4603500</v>
      </c>
      <c r="K20" s="436">
        <f t="shared" si="9"/>
        <v>-4709380.4999999991</v>
      </c>
      <c r="L20" s="436">
        <f t="shared" si="9"/>
        <v>-4817696.2514999984</v>
      </c>
      <c r="M20" s="436">
        <f t="shared" si="9"/>
        <v>-4928503.2652844982</v>
      </c>
      <c r="N20" s="436">
        <f t="shared" si="9"/>
        <v>-5041858.8403860405</v>
      </c>
      <c r="O20" s="436">
        <f t="shared" si="9"/>
        <v>-5157821.5937149199</v>
      </c>
      <c r="P20" s="436">
        <f t="shared" si="9"/>
        <v>-5276451.4903703621</v>
      </c>
      <c r="Q20" s="436">
        <f t="shared" si="9"/>
        <v>-5397809.8746488802</v>
      </c>
      <c r="R20" s="436">
        <f t="shared" si="9"/>
        <v>-5521959.5017658034</v>
      </c>
      <c r="S20" s="484">
        <f t="shared" si="9"/>
        <v>-5648964.5703064166</v>
      </c>
      <c r="T20" s="484">
        <f t="shared" si="9"/>
        <v>-5778890.7554234639</v>
      </c>
      <c r="U20" s="484">
        <f t="shared" si="9"/>
        <v>-5911805.2427982027</v>
      </c>
      <c r="V20" s="484">
        <f t="shared" si="9"/>
        <v>-6047776.7633825606</v>
      </c>
      <c r="W20" s="484">
        <f t="shared" si="9"/>
        <v>-6186875.6289403597</v>
      </c>
      <c r="X20" s="484">
        <f t="shared" si="9"/>
        <v>-6329173.768405986</v>
      </c>
      <c r="Y20" s="484">
        <f t="shared" si="9"/>
        <v>-6474744.7650793232</v>
      </c>
      <c r="Z20" s="436">
        <f t="shared" si="9"/>
        <v>-6623663.894676147</v>
      </c>
      <c r="AA20" s="436">
        <f t="shared" si="9"/>
        <v>-6776008.1642536987</v>
      </c>
      <c r="AB20" s="436">
        <f t="shared" si="9"/>
        <v>-6931856.3520315317</v>
      </c>
      <c r="AC20" s="436">
        <f t="shared" si="9"/>
        <v>0</v>
      </c>
      <c r="AD20" s="436">
        <f t="shared" si="9"/>
        <v>0</v>
      </c>
      <c r="AE20" s="436">
        <f t="shared" si="9"/>
        <v>0</v>
      </c>
      <c r="AF20" s="436">
        <f t="shared" si="9"/>
        <v>0</v>
      </c>
      <c r="AG20" s="436">
        <f t="shared" si="9"/>
        <v>0</v>
      </c>
      <c r="AH20" s="436">
        <f t="shared" si="9"/>
        <v>0</v>
      </c>
      <c r="AI20" s="484">
        <f t="shared" si="9"/>
        <v>0</v>
      </c>
      <c r="AJ20" s="484">
        <f t="shared" si="9"/>
        <v>0</v>
      </c>
      <c r="AK20" s="484">
        <f t="shared" si="9"/>
        <v>0</v>
      </c>
      <c r="AL20" s="460">
        <f t="shared" si="9"/>
        <v>0</v>
      </c>
      <c r="AM20" s="468"/>
      <c r="AN20" s="467"/>
      <c r="AQ20" s="545">
        <v>15</v>
      </c>
    </row>
    <row r="21" spans="1:43" ht="16.2" thickTop="1">
      <c r="A21" s="470" t="s">
        <v>48</v>
      </c>
      <c r="B21" s="420"/>
      <c r="C21" s="464">
        <v>1</v>
      </c>
      <c r="D21" s="423"/>
      <c r="E21" s="467"/>
      <c r="F21" s="468"/>
      <c r="G21" s="446"/>
      <c r="H21" s="418"/>
      <c r="I21" s="533"/>
      <c r="J21" s="418"/>
      <c r="K21" s="418"/>
      <c r="L21" s="418"/>
      <c r="M21" s="418"/>
      <c r="N21" s="418"/>
      <c r="O21" s="418"/>
      <c r="P21" s="418"/>
      <c r="Q21" s="418"/>
      <c r="R21" s="418"/>
      <c r="S21" s="481"/>
      <c r="T21" s="481"/>
      <c r="U21" s="481"/>
      <c r="V21" s="481"/>
      <c r="W21" s="481"/>
      <c r="X21" s="481"/>
      <c r="Y21" s="481"/>
      <c r="Z21" s="418"/>
      <c r="AA21" s="418"/>
      <c r="AB21" s="418"/>
      <c r="AC21" s="418"/>
      <c r="AD21" s="418"/>
      <c r="AE21" s="418"/>
      <c r="AF21" s="418"/>
      <c r="AG21" s="418"/>
      <c r="AH21" s="418"/>
      <c r="AI21" s="481"/>
      <c r="AJ21" s="481"/>
      <c r="AK21" s="481"/>
      <c r="AL21" s="459"/>
      <c r="AM21" s="468"/>
      <c r="AN21" s="467"/>
      <c r="AQ21" s="545">
        <v>16</v>
      </c>
    </row>
    <row r="22" spans="1:43" ht="15.6">
      <c r="A22" s="474" t="s">
        <v>129</v>
      </c>
      <c r="B22" s="530"/>
      <c r="C22" s="242" t="s">
        <v>130</v>
      </c>
      <c r="D22" s="423"/>
      <c r="E22" s="467"/>
      <c r="F22" s="468"/>
      <c r="G22" s="550" t="s">
        <v>22</v>
      </c>
      <c r="H22" s="529"/>
      <c r="I22" s="536">
        <f t="shared" ref="I22:AL22" si="10">I14+I20</f>
        <v>15350150.399999999</v>
      </c>
      <c r="J22" s="523">
        <f t="shared" si="10"/>
        <v>15713496.590378396</v>
      </c>
      <c r="K22" s="523">
        <f t="shared" si="10"/>
        <v>16085479.611956555</v>
      </c>
      <c r="L22" s="523">
        <f t="shared" si="10"/>
        <v>16466305.694280941</v>
      </c>
      <c r="M22" s="523">
        <f t="shared" si="10"/>
        <v>16856186.014947105</v>
      </c>
      <c r="N22" s="523">
        <f t="shared" si="10"/>
        <v>17255336.818918861</v>
      </c>
      <c r="O22" s="523">
        <f t="shared" si="10"/>
        <v>17656521.706964899</v>
      </c>
      <c r="P22" s="523">
        <f t="shared" si="10"/>
        <v>18067044.054984991</v>
      </c>
      <c r="Q22" s="523">
        <f t="shared" si="10"/>
        <v>18487121.441187982</v>
      </c>
      <c r="R22" s="523">
        <f t="shared" si="10"/>
        <v>18916976.520067509</v>
      </c>
      <c r="S22" s="497">
        <f t="shared" si="10"/>
        <v>19356837.140996363</v>
      </c>
      <c r="T22" s="523">
        <f t="shared" si="10"/>
        <v>19806936.469595507</v>
      </c>
      <c r="U22" s="523">
        <f t="shared" si="10"/>
        <v>20267513.111942798</v>
      </c>
      <c r="V22" s="523">
        <f t="shared" si="10"/>
        <v>20738811.241687953</v>
      </c>
      <c r="W22" s="523">
        <f t="shared" si="10"/>
        <v>21221080.730141975</v>
      </c>
      <c r="X22" s="523">
        <f t="shared" si="10"/>
        <v>21714577.279410481</v>
      </c>
      <c r="Y22" s="523">
        <f t="shared" si="10"/>
        <v>22219562.5586426</v>
      </c>
      <c r="Z22" s="523">
        <f t="shared" si="10"/>
        <v>22736304.343468204</v>
      </c>
      <c r="AA22" s="523">
        <f t="shared" si="10"/>
        <v>23265076.65869835</v>
      </c>
      <c r="AB22" s="523">
        <f t="shared" si="10"/>
        <v>23806159.924365345</v>
      </c>
      <c r="AC22" s="523">
        <f t="shared" si="10"/>
        <v>0</v>
      </c>
      <c r="AD22" s="523">
        <f t="shared" si="10"/>
        <v>0</v>
      </c>
      <c r="AE22" s="523">
        <f t="shared" si="10"/>
        <v>0</v>
      </c>
      <c r="AF22" s="523">
        <f t="shared" si="10"/>
        <v>0</v>
      </c>
      <c r="AG22" s="523">
        <f t="shared" si="10"/>
        <v>0</v>
      </c>
      <c r="AH22" s="523">
        <f t="shared" si="10"/>
        <v>0</v>
      </c>
      <c r="AI22" s="497">
        <f t="shared" si="10"/>
        <v>0</v>
      </c>
      <c r="AJ22" s="523">
        <f t="shared" si="10"/>
        <v>0</v>
      </c>
      <c r="AK22" s="523">
        <f t="shared" si="10"/>
        <v>0</v>
      </c>
      <c r="AL22" s="505">
        <f t="shared" si="10"/>
        <v>0</v>
      </c>
      <c r="AM22" s="468"/>
      <c r="AN22" s="467"/>
      <c r="AQ22" s="545">
        <v>17</v>
      </c>
    </row>
    <row r="23" spans="1:43" ht="15.6">
      <c r="A23" s="495" t="s">
        <v>8</v>
      </c>
      <c r="B23" s="508"/>
      <c r="C23" s="483"/>
      <c r="D23" s="423"/>
      <c r="E23" s="467"/>
      <c r="F23" s="468"/>
      <c r="G23" s="550" t="s">
        <v>23</v>
      </c>
      <c r="H23" s="529"/>
      <c r="I23" s="534">
        <f>I49</f>
        <v>-6041250</v>
      </c>
      <c r="J23" s="417">
        <f t="shared" ref="J23:AL23" si="11">J49</f>
        <v>-5865575.8008679096</v>
      </c>
      <c r="K23" s="417">
        <f t="shared" si="11"/>
        <v>-5680467.8972424259</v>
      </c>
      <c r="L23" s="417">
        <f t="shared" si="11"/>
        <v>-5485419.6991922539</v>
      </c>
      <c r="M23" s="417">
        <f t="shared" si="11"/>
        <v>-5279897.4129067883</v>
      </c>
      <c r="N23" s="417">
        <f t="shared" si="11"/>
        <v>-5063338.5798477931</v>
      </c>
      <c r="O23" s="417">
        <f t="shared" si="11"/>
        <v>-4835150.5374535294</v>
      </c>
      <c r="P23" s="417">
        <f t="shared" si="11"/>
        <v>-4594708.7971826931</v>
      </c>
      <c r="Q23" s="417">
        <f t="shared" si="11"/>
        <v>-4341355.3354593143</v>
      </c>
      <c r="R23" s="417">
        <f t="shared" si="11"/>
        <v>-4074396.7928413893</v>
      </c>
      <c r="S23" s="480">
        <f t="shared" si="11"/>
        <v>-3793102.5764848813</v>
      </c>
      <c r="T23" s="417">
        <f t="shared" si="11"/>
        <v>-3496702.8607100295</v>
      </c>
      <c r="U23" s="417">
        <f t="shared" si="11"/>
        <v>-3184386.4801980676</v>
      </c>
      <c r="V23" s="417">
        <f t="shared" si="11"/>
        <v>-2855298.7100526136</v>
      </c>
      <c r="W23" s="417">
        <f t="shared" si="11"/>
        <v>-2508538.9266503491</v>
      </c>
      <c r="X23" s="417">
        <f t="shared" si="11"/>
        <v>-2143158.1428793827</v>
      </c>
      <c r="Y23" s="417">
        <f t="shared" si="11"/>
        <v>-1758156.4110199155</v>
      </c>
      <c r="Z23" s="417">
        <f t="shared" si="11"/>
        <v>-1352480.0861595946</v>
      </c>
      <c r="AA23" s="417">
        <f t="shared" si="11"/>
        <v>-925018.94265427452</v>
      </c>
      <c r="AB23" s="417">
        <f t="shared" si="11"/>
        <v>-474603.13574271894</v>
      </c>
      <c r="AC23" s="417">
        <f t="shared" si="11"/>
        <v>0</v>
      </c>
      <c r="AD23" s="417">
        <f t="shared" si="11"/>
        <v>0</v>
      </c>
      <c r="AE23" s="417">
        <f t="shared" si="11"/>
        <v>0</v>
      </c>
      <c r="AF23" s="417">
        <f t="shared" si="11"/>
        <v>0</v>
      </c>
      <c r="AG23" s="417">
        <f t="shared" si="11"/>
        <v>0</v>
      </c>
      <c r="AH23" s="417">
        <f t="shared" si="11"/>
        <v>0</v>
      </c>
      <c r="AI23" s="480">
        <f t="shared" si="11"/>
        <v>0</v>
      </c>
      <c r="AJ23" s="417">
        <f t="shared" si="11"/>
        <v>0</v>
      </c>
      <c r="AK23" s="417">
        <f t="shared" si="11"/>
        <v>0</v>
      </c>
      <c r="AL23" s="494">
        <f t="shared" si="11"/>
        <v>0</v>
      </c>
      <c r="AM23" s="468"/>
      <c r="AN23" s="467"/>
      <c r="AQ23" s="545">
        <v>18</v>
      </c>
    </row>
    <row r="24" spans="1:43" ht="15.6">
      <c r="A24" s="474" t="s">
        <v>9</v>
      </c>
      <c r="B24" s="478"/>
      <c r="C24" s="565">
        <v>0.5</v>
      </c>
      <c r="D24" s="424"/>
      <c r="E24" s="467"/>
      <c r="F24" s="468"/>
      <c r="G24" s="551" t="s">
        <v>24</v>
      </c>
      <c r="H24" s="528"/>
      <c r="I24" s="534">
        <f>I44</f>
        <v>-45000000</v>
      </c>
      <c r="J24" s="417">
        <f>J44</f>
        <v>-72000000</v>
      </c>
      <c r="K24" s="417">
        <f t="shared" ref="K24:AL24" si="12">K44</f>
        <v>-43200000</v>
      </c>
      <c r="L24" s="417">
        <f t="shared" si="12"/>
        <v>-25920000</v>
      </c>
      <c r="M24" s="417">
        <f t="shared" si="12"/>
        <v>-25920000</v>
      </c>
      <c r="N24" s="417">
        <f t="shared" si="12"/>
        <v>-12960000</v>
      </c>
      <c r="O24" s="417">
        <f t="shared" si="12"/>
        <v>0</v>
      </c>
      <c r="P24" s="417">
        <f t="shared" si="12"/>
        <v>0</v>
      </c>
      <c r="Q24" s="417">
        <f t="shared" si="12"/>
        <v>0</v>
      </c>
      <c r="R24" s="417">
        <f t="shared" si="12"/>
        <v>0</v>
      </c>
      <c r="S24" s="480">
        <f t="shared" si="12"/>
        <v>0</v>
      </c>
      <c r="T24" s="417">
        <f t="shared" si="12"/>
        <v>0</v>
      </c>
      <c r="U24" s="417">
        <f t="shared" si="12"/>
        <v>0</v>
      </c>
      <c r="V24" s="417">
        <f t="shared" si="12"/>
        <v>0</v>
      </c>
      <c r="W24" s="417">
        <f t="shared" si="12"/>
        <v>0</v>
      </c>
      <c r="X24" s="417">
        <f t="shared" si="12"/>
        <v>0</v>
      </c>
      <c r="Y24" s="417">
        <f t="shared" si="12"/>
        <v>0</v>
      </c>
      <c r="Z24" s="417">
        <f t="shared" si="12"/>
        <v>0</v>
      </c>
      <c r="AA24" s="417">
        <f t="shared" si="12"/>
        <v>0</v>
      </c>
      <c r="AB24" s="417">
        <f t="shared" si="12"/>
        <v>0</v>
      </c>
      <c r="AC24" s="417">
        <f t="shared" si="12"/>
        <v>0</v>
      </c>
      <c r="AD24" s="417">
        <f t="shared" si="12"/>
        <v>0</v>
      </c>
      <c r="AE24" s="417">
        <f t="shared" si="12"/>
        <v>0</v>
      </c>
      <c r="AF24" s="417">
        <f t="shared" si="12"/>
        <v>0</v>
      </c>
      <c r="AG24" s="417">
        <f t="shared" si="12"/>
        <v>0</v>
      </c>
      <c r="AH24" s="417">
        <f t="shared" si="12"/>
        <v>0</v>
      </c>
      <c r="AI24" s="480">
        <f t="shared" si="12"/>
        <v>0</v>
      </c>
      <c r="AJ24" s="417">
        <f t="shared" si="12"/>
        <v>0</v>
      </c>
      <c r="AK24" s="417">
        <f t="shared" si="12"/>
        <v>0</v>
      </c>
      <c r="AL24" s="494">
        <f t="shared" si="12"/>
        <v>0</v>
      </c>
      <c r="AM24" s="468"/>
      <c r="AN24" s="467"/>
      <c r="AQ24" s="545">
        <v>19</v>
      </c>
    </row>
    <row r="25" spans="1:43" ht="16.2" thickBot="1">
      <c r="A25" s="470" t="s">
        <v>10</v>
      </c>
      <c r="B25" s="531"/>
      <c r="C25" s="466">
        <f>1-C24</f>
        <v>0.5</v>
      </c>
      <c r="E25" s="467"/>
      <c r="F25" s="468"/>
      <c r="G25" s="443" t="s">
        <v>25</v>
      </c>
      <c r="H25" s="527"/>
      <c r="I25" s="433">
        <f>SUM(I22:I24)</f>
        <v>-35691099.600000001</v>
      </c>
      <c r="J25" s="434">
        <f t="shared" ref="J25:R25" si="13">SUM(J22:J24)</f>
        <v>-62152079.210489511</v>
      </c>
      <c r="K25" s="434">
        <f t="shared" si="13"/>
        <v>-32794988.285285871</v>
      </c>
      <c r="L25" s="434">
        <f t="shared" si="13"/>
        <v>-14939114.004911313</v>
      </c>
      <c r="M25" s="434">
        <f t="shared" si="13"/>
        <v>-14343711.397959683</v>
      </c>
      <c r="N25" s="434">
        <f t="shared" si="13"/>
        <v>-768001.76092893258</v>
      </c>
      <c r="O25" s="434">
        <f t="shared" si="13"/>
        <v>12821371.16951137</v>
      </c>
      <c r="P25" s="434">
        <f t="shared" si="13"/>
        <v>13472335.257802296</v>
      </c>
      <c r="Q25" s="434">
        <f t="shared" si="13"/>
        <v>14145766.105728667</v>
      </c>
      <c r="R25" s="434">
        <f t="shared" si="13"/>
        <v>14842579.727226119</v>
      </c>
      <c r="S25" s="488">
        <f t="shared" ref="S25:Y25" si="14">SUM(S22:S24)</f>
        <v>15563734.564511482</v>
      </c>
      <c r="T25" s="434">
        <f t="shared" si="14"/>
        <v>16310233.608885478</v>
      </c>
      <c r="U25" s="434">
        <f t="shared" si="14"/>
        <v>17083126.631744731</v>
      </c>
      <c r="V25" s="434">
        <f t="shared" si="14"/>
        <v>17883512.53163534</v>
      </c>
      <c r="W25" s="434">
        <f t="shared" si="14"/>
        <v>18712541.803491626</v>
      </c>
      <c r="X25" s="434">
        <f t="shared" si="14"/>
        <v>19571419.1365311</v>
      </c>
      <c r="Y25" s="434">
        <f t="shared" si="14"/>
        <v>20461406.147622686</v>
      </c>
      <c r="Z25" s="434">
        <f t="shared" ref="Z25:AH25" si="15">SUM(Z22:Z24)</f>
        <v>21383824.25730861</v>
      </c>
      <c r="AA25" s="434">
        <f t="shared" si="15"/>
        <v>22340057.716044076</v>
      </c>
      <c r="AB25" s="434">
        <f t="shared" si="15"/>
        <v>23331556.788622625</v>
      </c>
      <c r="AC25" s="434">
        <f t="shared" si="15"/>
        <v>0</v>
      </c>
      <c r="AD25" s="434">
        <f t="shared" si="15"/>
        <v>0</v>
      </c>
      <c r="AE25" s="434">
        <f t="shared" si="15"/>
        <v>0</v>
      </c>
      <c r="AF25" s="434">
        <f t="shared" si="15"/>
        <v>0</v>
      </c>
      <c r="AG25" s="434">
        <f t="shared" si="15"/>
        <v>0</v>
      </c>
      <c r="AH25" s="434">
        <f t="shared" si="15"/>
        <v>0</v>
      </c>
      <c r="AI25" s="488">
        <f>SUM(AI22:AI24)</f>
        <v>0</v>
      </c>
      <c r="AJ25" s="434">
        <f>SUM(AJ22:AJ24)</f>
        <v>0</v>
      </c>
      <c r="AK25" s="434">
        <f>SUM(AK22:AK24)</f>
        <v>0</v>
      </c>
      <c r="AL25" s="502">
        <f>SUM(AL22:AL24)</f>
        <v>0</v>
      </c>
      <c r="AM25" s="468"/>
      <c r="AN25" s="467"/>
      <c r="AQ25" s="545">
        <v>20</v>
      </c>
    </row>
    <row r="26" spans="1:43" ht="16.2" thickTop="1">
      <c r="A26" s="474" t="s">
        <v>11</v>
      </c>
      <c r="B26" s="478"/>
      <c r="C26" s="593">
        <v>5.3699999999999998E-2</v>
      </c>
      <c r="D26" s="532"/>
      <c r="E26" s="467"/>
      <c r="F26" s="468"/>
      <c r="G26" s="446"/>
      <c r="H26" s="418"/>
      <c r="I26" s="533"/>
      <c r="J26" s="418"/>
      <c r="K26" s="418"/>
      <c r="L26" s="418"/>
      <c r="M26" s="418"/>
      <c r="N26" s="418"/>
      <c r="O26" s="418"/>
      <c r="P26" s="418"/>
      <c r="Q26" s="418"/>
      <c r="R26" s="418"/>
      <c r="S26" s="481"/>
      <c r="T26" s="418"/>
      <c r="U26" s="418"/>
      <c r="V26" s="418"/>
      <c r="W26" s="481"/>
      <c r="X26" s="481"/>
      <c r="Y26" s="481"/>
      <c r="Z26" s="418"/>
      <c r="AA26" s="418"/>
      <c r="AB26" s="418"/>
      <c r="AC26" s="418"/>
      <c r="AD26" s="418"/>
      <c r="AE26" s="418"/>
      <c r="AF26" s="418"/>
      <c r="AG26" s="418"/>
      <c r="AH26" s="418"/>
      <c r="AI26" s="481"/>
      <c r="AJ26" s="418"/>
      <c r="AK26" s="418"/>
      <c r="AL26" s="461"/>
      <c r="AM26" s="468"/>
      <c r="AN26" s="467"/>
      <c r="AQ26" s="545">
        <v>21</v>
      </c>
    </row>
    <row r="27" spans="1:43" ht="15.6">
      <c r="A27" s="474" t="s">
        <v>12</v>
      </c>
      <c r="B27" s="478"/>
      <c r="C27" s="593">
        <v>8.9300000000000004E-2</v>
      </c>
      <c r="D27" s="532"/>
      <c r="E27" s="467"/>
      <c r="F27" s="468"/>
      <c r="G27" s="552" t="s">
        <v>133</v>
      </c>
      <c r="H27" s="418"/>
      <c r="I27" s="534">
        <f t="shared" ref="I27:AL27" si="16">MAX(0,IF(I$6&gt;$C$30,0,$C$12*$C$9*$C$7*8760))</f>
        <v>6044400</v>
      </c>
      <c r="J27" s="534">
        <f t="shared" si="16"/>
        <v>6044400</v>
      </c>
      <c r="K27" s="534">
        <f t="shared" si="16"/>
        <v>6044400</v>
      </c>
      <c r="L27" s="534">
        <f t="shared" si="16"/>
        <v>6044400</v>
      </c>
      <c r="M27" s="534">
        <f t="shared" si="16"/>
        <v>6044400</v>
      </c>
      <c r="N27" s="534">
        <f t="shared" si="16"/>
        <v>6044400</v>
      </c>
      <c r="O27" s="534">
        <f t="shared" si="16"/>
        <v>6044400</v>
      </c>
      <c r="P27" s="534">
        <f t="shared" si="16"/>
        <v>6044400</v>
      </c>
      <c r="Q27" s="534">
        <f t="shared" si="16"/>
        <v>6044400</v>
      </c>
      <c r="R27" s="534">
        <f t="shared" si="16"/>
        <v>6044400</v>
      </c>
      <c r="S27" s="534">
        <f t="shared" si="16"/>
        <v>0</v>
      </c>
      <c r="T27" s="534">
        <f t="shared" si="16"/>
        <v>0</v>
      </c>
      <c r="U27" s="534">
        <f t="shared" si="16"/>
        <v>0</v>
      </c>
      <c r="V27" s="534">
        <f t="shared" si="16"/>
        <v>0</v>
      </c>
      <c r="W27" s="534">
        <f t="shared" si="16"/>
        <v>0</v>
      </c>
      <c r="X27" s="534">
        <f t="shared" si="16"/>
        <v>0</v>
      </c>
      <c r="Y27" s="534">
        <f t="shared" si="16"/>
        <v>0</v>
      </c>
      <c r="Z27" s="534">
        <f t="shared" si="16"/>
        <v>0</v>
      </c>
      <c r="AA27" s="534">
        <f t="shared" si="16"/>
        <v>0</v>
      </c>
      <c r="AB27" s="534">
        <f t="shared" si="16"/>
        <v>0</v>
      </c>
      <c r="AC27" s="534">
        <f t="shared" si="16"/>
        <v>0</v>
      </c>
      <c r="AD27" s="534">
        <f t="shared" si="16"/>
        <v>0</v>
      </c>
      <c r="AE27" s="534">
        <f t="shared" si="16"/>
        <v>0</v>
      </c>
      <c r="AF27" s="534">
        <f t="shared" si="16"/>
        <v>0</v>
      </c>
      <c r="AG27" s="534">
        <f t="shared" si="16"/>
        <v>0</v>
      </c>
      <c r="AH27" s="534">
        <f t="shared" si="16"/>
        <v>0</v>
      </c>
      <c r="AI27" s="534">
        <f t="shared" si="16"/>
        <v>0</v>
      </c>
      <c r="AJ27" s="534">
        <f t="shared" si="16"/>
        <v>0</v>
      </c>
      <c r="AK27" s="534">
        <f t="shared" si="16"/>
        <v>0</v>
      </c>
      <c r="AL27" s="465">
        <f t="shared" si="16"/>
        <v>0</v>
      </c>
      <c r="AM27" s="468"/>
      <c r="AN27" s="467"/>
      <c r="AQ27" s="545">
        <v>22</v>
      </c>
    </row>
    <row r="28" spans="1:43" ht="15.6">
      <c r="A28" s="470" t="s">
        <v>13</v>
      </c>
      <c r="B28" s="478"/>
      <c r="C28" s="593">
        <v>2.3E-2</v>
      </c>
      <c r="D28" s="532"/>
      <c r="E28" s="467"/>
      <c r="F28" s="468"/>
      <c r="G28" s="552" t="s">
        <v>26</v>
      </c>
      <c r="H28" s="418"/>
      <c r="I28" s="534">
        <f>-MAX(I25*$C$29,0)</f>
        <v>0</v>
      </c>
      <c r="J28" s="534">
        <f t="shared" ref="J28:AL28" si="17">-MAX(J25*$C$29,0)</f>
        <v>0</v>
      </c>
      <c r="K28" s="534">
        <f t="shared" si="17"/>
        <v>0</v>
      </c>
      <c r="L28" s="534">
        <f t="shared" si="17"/>
        <v>0</v>
      </c>
      <c r="M28" s="534">
        <f t="shared" si="17"/>
        <v>0</v>
      </c>
      <c r="N28" s="534">
        <f t="shared" si="17"/>
        <v>0</v>
      </c>
      <c r="O28" s="534">
        <f t="shared" si="17"/>
        <v>-5079827.2573604053</v>
      </c>
      <c r="P28" s="534">
        <f t="shared" si="17"/>
        <v>-5337739.2291412698</v>
      </c>
      <c r="Q28" s="534">
        <f t="shared" si="17"/>
        <v>-5604552.531089698</v>
      </c>
      <c r="R28" s="534">
        <f t="shared" si="17"/>
        <v>-5880630.0879269885</v>
      </c>
      <c r="S28" s="534">
        <f t="shared" si="17"/>
        <v>-6166351.634459449</v>
      </c>
      <c r="T28" s="534">
        <f t="shared" si="17"/>
        <v>-6462114.5558404261</v>
      </c>
      <c r="U28" s="534">
        <f t="shared" si="17"/>
        <v>-6768334.7714972626</v>
      </c>
      <c r="V28" s="534">
        <f t="shared" si="17"/>
        <v>-7085447.6650339216</v>
      </c>
      <c r="W28" s="534">
        <f t="shared" si="17"/>
        <v>-7413909.0625433819</v>
      </c>
      <c r="X28" s="534">
        <f t="shared" si="17"/>
        <v>-7754196.2618936216</v>
      </c>
      <c r="Y28" s="534">
        <f t="shared" si="17"/>
        <v>-8106809.1156881079</v>
      </c>
      <c r="Z28" s="534">
        <f t="shared" si="17"/>
        <v>-8472271.1707456708</v>
      </c>
      <c r="AA28" s="534">
        <f t="shared" si="17"/>
        <v>-8851130.8670966625</v>
      </c>
      <c r="AB28" s="534">
        <f t="shared" si="17"/>
        <v>-9243962.799652284</v>
      </c>
      <c r="AC28" s="534">
        <f t="shared" si="17"/>
        <v>0</v>
      </c>
      <c r="AD28" s="534">
        <f t="shared" si="17"/>
        <v>0</v>
      </c>
      <c r="AE28" s="534">
        <f t="shared" si="17"/>
        <v>0</v>
      </c>
      <c r="AF28" s="534">
        <f t="shared" si="17"/>
        <v>0</v>
      </c>
      <c r="AG28" s="534">
        <f t="shared" si="17"/>
        <v>0</v>
      </c>
      <c r="AH28" s="534">
        <f t="shared" si="17"/>
        <v>0</v>
      </c>
      <c r="AI28" s="534">
        <f t="shared" si="17"/>
        <v>0</v>
      </c>
      <c r="AJ28" s="534">
        <f t="shared" si="17"/>
        <v>0</v>
      </c>
      <c r="AK28" s="534">
        <f t="shared" si="17"/>
        <v>0</v>
      </c>
      <c r="AL28" s="465">
        <f t="shared" si="17"/>
        <v>0</v>
      </c>
      <c r="AM28" s="468"/>
      <c r="AN28" s="467"/>
      <c r="AQ28" s="545">
        <v>23</v>
      </c>
    </row>
    <row r="29" spans="1:43" ht="15.6">
      <c r="A29" s="474" t="s">
        <v>14</v>
      </c>
      <c r="B29" s="478"/>
      <c r="C29" s="593">
        <v>0.3962</v>
      </c>
      <c r="D29" s="426"/>
      <c r="E29" s="467"/>
      <c r="F29" s="468"/>
      <c r="G29" s="552" t="s">
        <v>141</v>
      </c>
      <c r="H29" s="418"/>
      <c r="I29" s="534">
        <f>I27</f>
        <v>6044400</v>
      </c>
      <c r="J29" s="534">
        <f>IF(J$6&gt;20,0,MAX(I29+J28+J27,0))</f>
        <v>12088800</v>
      </c>
      <c r="K29" s="534">
        <f t="shared" ref="K29:AL29" si="18">IF(K$6&gt;20,0,MAX(J29+K28+K27,0))</f>
        <v>18133200</v>
      </c>
      <c r="L29" s="534">
        <f t="shared" si="18"/>
        <v>24177600</v>
      </c>
      <c r="M29" s="534">
        <f t="shared" si="18"/>
        <v>30222000</v>
      </c>
      <c r="N29" s="534">
        <f t="shared" si="18"/>
        <v>36266400</v>
      </c>
      <c r="O29" s="534">
        <f t="shared" si="18"/>
        <v>37230972.742639594</v>
      </c>
      <c r="P29" s="534">
        <f t="shared" si="18"/>
        <v>37937633.513498321</v>
      </c>
      <c r="Q29" s="534">
        <f t="shared" si="18"/>
        <v>38377480.982408628</v>
      </c>
      <c r="R29" s="534">
        <f t="shared" si="18"/>
        <v>38541250.894481644</v>
      </c>
      <c r="S29" s="534">
        <f t="shared" si="18"/>
        <v>32374899.260022193</v>
      </c>
      <c r="T29" s="534">
        <f t="shared" si="18"/>
        <v>25912784.704181768</v>
      </c>
      <c r="U29" s="534">
        <f t="shared" si="18"/>
        <v>19144449.932684503</v>
      </c>
      <c r="V29" s="534">
        <f t="shared" si="18"/>
        <v>12059002.267650582</v>
      </c>
      <c r="W29" s="534">
        <f t="shared" si="18"/>
        <v>4645093.2051072</v>
      </c>
      <c r="X29" s="534">
        <f t="shared" si="18"/>
        <v>0</v>
      </c>
      <c r="Y29" s="534">
        <f t="shared" si="18"/>
        <v>0</v>
      </c>
      <c r="Z29" s="534">
        <f t="shared" si="18"/>
        <v>0</v>
      </c>
      <c r="AA29" s="534">
        <f t="shared" si="18"/>
        <v>0</v>
      </c>
      <c r="AB29" s="534">
        <f t="shared" si="18"/>
        <v>0</v>
      </c>
      <c r="AC29" s="534">
        <f t="shared" si="18"/>
        <v>0</v>
      </c>
      <c r="AD29" s="534">
        <f t="shared" si="18"/>
        <v>0</v>
      </c>
      <c r="AE29" s="534">
        <f t="shared" si="18"/>
        <v>0</v>
      </c>
      <c r="AF29" s="534">
        <f t="shared" si="18"/>
        <v>0</v>
      </c>
      <c r="AG29" s="534">
        <f t="shared" si="18"/>
        <v>0</v>
      </c>
      <c r="AH29" s="534">
        <f t="shared" si="18"/>
        <v>0</v>
      </c>
      <c r="AI29" s="534">
        <f t="shared" si="18"/>
        <v>0</v>
      </c>
      <c r="AJ29" s="534">
        <f t="shared" si="18"/>
        <v>0</v>
      </c>
      <c r="AK29" s="534">
        <f t="shared" si="18"/>
        <v>0</v>
      </c>
      <c r="AL29" s="465">
        <f t="shared" si="18"/>
        <v>0</v>
      </c>
      <c r="AM29" s="468"/>
      <c r="AN29" s="467"/>
      <c r="AQ29" s="545">
        <v>24</v>
      </c>
    </row>
    <row r="30" spans="1:43" ht="15.6">
      <c r="A30" s="474" t="s">
        <v>98</v>
      </c>
      <c r="B30" s="478"/>
      <c r="C30" s="462">
        <v>10</v>
      </c>
      <c r="D30" s="426"/>
      <c r="E30" s="467"/>
      <c r="F30" s="468"/>
      <c r="G30" s="552" t="s">
        <v>142</v>
      </c>
      <c r="H30" s="525"/>
      <c r="I30" s="537">
        <f t="shared" ref="I30:AL30" si="19">-MAX(MAX(I25*$AS$44-I29,0)+$AS$48*I25,0)</f>
        <v>0</v>
      </c>
      <c r="J30" s="537">
        <f t="shared" si="19"/>
        <v>0</v>
      </c>
      <c r="K30" s="537">
        <f t="shared" si="19"/>
        <v>0</v>
      </c>
      <c r="L30" s="537">
        <f t="shared" si="19"/>
        <v>0</v>
      </c>
      <c r="M30" s="537">
        <f t="shared" si="19"/>
        <v>0</v>
      </c>
      <c r="N30" s="537">
        <f t="shared" si="19"/>
        <v>0</v>
      </c>
      <c r="O30" s="537">
        <f t="shared" si="19"/>
        <v>-1329255.6559990912</v>
      </c>
      <c r="P30" s="537">
        <f t="shared" si="19"/>
        <v>-1396744.3578526529</v>
      </c>
      <c r="Q30" s="537">
        <f t="shared" si="19"/>
        <v>-1466562.3010114194</v>
      </c>
      <c r="R30" s="537">
        <f t="shared" si="19"/>
        <v>-1538804.4532201679</v>
      </c>
      <c r="S30" s="537">
        <f t="shared" si="19"/>
        <v>-1613570.1809757277</v>
      </c>
      <c r="T30" s="537">
        <f t="shared" si="19"/>
        <v>-1690963.4694012017</v>
      </c>
      <c r="U30" s="537">
        <f t="shared" si="19"/>
        <v>-1771093.1535461349</v>
      </c>
      <c r="V30" s="537">
        <f t="shared" si="19"/>
        <v>-1854073.1617172938</v>
      </c>
      <c r="W30" s="537">
        <f t="shared" si="19"/>
        <v>-3844319.1975918626</v>
      </c>
      <c r="X30" s="537">
        <f t="shared" si="19"/>
        <v>-8879063.5767657459</v>
      </c>
      <c r="Y30" s="537">
        <f t="shared" si="19"/>
        <v>-9282828.4340227209</v>
      </c>
      <c r="Z30" s="537">
        <f t="shared" si="19"/>
        <v>-9701306.4699344821</v>
      </c>
      <c r="AA30" s="537">
        <f t="shared" si="19"/>
        <v>-10135125.684326295</v>
      </c>
      <c r="AB30" s="537">
        <f t="shared" si="19"/>
        <v>-10584944.026078368</v>
      </c>
      <c r="AC30" s="537">
        <f t="shared" si="19"/>
        <v>0</v>
      </c>
      <c r="AD30" s="537">
        <f t="shared" si="19"/>
        <v>0</v>
      </c>
      <c r="AE30" s="537">
        <f t="shared" si="19"/>
        <v>0</v>
      </c>
      <c r="AF30" s="537">
        <f t="shared" si="19"/>
        <v>0</v>
      </c>
      <c r="AG30" s="537">
        <f t="shared" si="19"/>
        <v>0</v>
      </c>
      <c r="AH30" s="537">
        <f t="shared" si="19"/>
        <v>0</v>
      </c>
      <c r="AI30" s="537">
        <f t="shared" si="19"/>
        <v>0</v>
      </c>
      <c r="AJ30" s="537">
        <f t="shared" si="19"/>
        <v>0</v>
      </c>
      <c r="AK30" s="537">
        <f t="shared" si="19"/>
        <v>0</v>
      </c>
      <c r="AL30" s="577">
        <f t="shared" si="19"/>
        <v>0</v>
      </c>
      <c r="AM30" s="468"/>
      <c r="AN30" s="467"/>
      <c r="AQ30" s="545">
        <v>25</v>
      </c>
    </row>
    <row r="31" spans="1:43" ht="15.6">
      <c r="A31" s="470" t="s">
        <v>75</v>
      </c>
      <c r="B31" s="478"/>
      <c r="C31" s="462">
        <v>20</v>
      </c>
      <c r="D31" s="426"/>
      <c r="E31" s="467"/>
      <c r="F31" s="468"/>
      <c r="G31" s="446" t="s">
        <v>27</v>
      </c>
      <c r="H31" s="418"/>
      <c r="I31" s="534">
        <f>I50</f>
        <v>-3271400.3562772851</v>
      </c>
      <c r="J31" s="417">
        <f t="shared" ref="J31:X31" si="20">J50</f>
        <v>-3447074.5554093756</v>
      </c>
      <c r="K31" s="417">
        <f t="shared" si="20"/>
        <v>-3632182.4590348592</v>
      </c>
      <c r="L31" s="417">
        <f t="shared" si="20"/>
        <v>-3827230.6570850313</v>
      </c>
      <c r="M31" s="417">
        <f t="shared" si="20"/>
        <v>-4032752.9433704969</v>
      </c>
      <c r="N31" s="417">
        <f t="shared" si="20"/>
        <v>-4249311.776429492</v>
      </c>
      <c r="O31" s="417">
        <f t="shared" si="20"/>
        <v>-4477499.8188237557</v>
      </c>
      <c r="P31" s="417">
        <f t="shared" si="20"/>
        <v>-4717941.559094592</v>
      </c>
      <c r="Q31" s="417">
        <f t="shared" si="20"/>
        <v>-4971295.0208179709</v>
      </c>
      <c r="R31" s="417">
        <f t="shared" si="20"/>
        <v>-5238253.5634358954</v>
      </c>
      <c r="S31" s="480">
        <f t="shared" si="20"/>
        <v>-5519547.7797924038</v>
      </c>
      <c r="T31" s="417">
        <f t="shared" si="20"/>
        <v>-5815947.4955672557</v>
      </c>
      <c r="U31" s="417">
        <f t="shared" si="20"/>
        <v>-6128263.8760792175</v>
      </c>
      <c r="V31" s="417">
        <f t="shared" si="20"/>
        <v>-6457351.646224672</v>
      </c>
      <c r="W31" s="480">
        <f t="shared" si="20"/>
        <v>-6804111.4296269361</v>
      </c>
      <c r="X31" s="480">
        <f t="shared" si="20"/>
        <v>-7169492.2133979024</v>
      </c>
      <c r="Y31" s="480">
        <f>Y50</f>
        <v>-7554493.9452573694</v>
      </c>
      <c r="Z31" s="417">
        <f t="shared" ref="Z31:AL31" si="21">Z50</f>
        <v>-7960170.2701176908</v>
      </c>
      <c r="AA31" s="417">
        <f t="shared" si="21"/>
        <v>-8387631.4136230107</v>
      </c>
      <c r="AB31" s="417">
        <f t="shared" si="21"/>
        <v>-8838047.2205345668</v>
      </c>
      <c r="AC31" s="417">
        <f t="shared" si="21"/>
        <v>0</v>
      </c>
      <c r="AD31" s="417">
        <f t="shared" si="21"/>
        <v>0</v>
      </c>
      <c r="AE31" s="417">
        <f t="shared" si="21"/>
        <v>0</v>
      </c>
      <c r="AF31" s="417">
        <f t="shared" si="21"/>
        <v>0</v>
      </c>
      <c r="AG31" s="417">
        <f t="shared" si="21"/>
        <v>0</v>
      </c>
      <c r="AH31" s="417">
        <f t="shared" si="21"/>
        <v>0</v>
      </c>
      <c r="AI31" s="480">
        <f t="shared" si="21"/>
        <v>0</v>
      </c>
      <c r="AJ31" s="417">
        <f t="shared" si="21"/>
        <v>0</v>
      </c>
      <c r="AK31" s="417">
        <f t="shared" si="21"/>
        <v>0</v>
      </c>
      <c r="AL31" s="494">
        <f t="shared" si="21"/>
        <v>0</v>
      </c>
      <c r="AM31" s="468"/>
      <c r="AN31" s="467"/>
      <c r="AQ31" s="545">
        <v>26</v>
      </c>
    </row>
    <row r="32" spans="1:43" ht="16.2" thickBot="1">
      <c r="A32" s="474" t="s">
        <v>44</v>
      </c>
      <c r="B32" s="420"/>
      <c r="C32" s="500" t="s">
        <v>45</v>
      </c>
      <c r="D32" s="426"/>
      <c r="E32" s="467"/>
      <c r="F32" s="468"/>
      <c r="G32" s="447" t="s">
        <v>40</v>
      </c>
      <c r="H32" s="538"/>
      <c r="I32" s="429">
        <f t="shared" ref="I32:AL32" si="22">I22+I23+I30+I31</f>
        <v>6037500.0437227134</v>
      </c>
      <c r="J32" s="430">
        <f t="shared" si="22"/>
        <v>6400846.2341011111</v>
      </c>
      <c r="K32" s="430">
        <f t="shared" si="22"/>
        <v>6772829.2556792693</v>
      </c>
      <c r="L32" s="430">
        <f t="shared" si="22"/>
        <v>7153655.3380036559</v>
      </c>
      <c r="M32" s="430">
        <f t="shared" si="22"/>
        <v>7543535.6586698201</v>
      </c>
      <c r="N32" s="430">
        <f t="shared" si="22"/>
        <v>7942686.4626415754</v>
      </c>
      <c r="O32" s="430">
        <f t="shared" si="22"/>
        <v>7014615.6946885241</v>
      </c>
      <c r="P32" s="430">
        <f t="shared" si="22"/>
        <v>7357649.3408550518</v>
      </c>
      <c r="Q32" s="430">
        <f t="shared" si="22"/>
        <v>7707908.7838992774</v>
      </c>
      <c r="R32" s="430">
        <f t="shared" si="22"/>
        <v>8065521.710570056</v>
      </c>
      <c r="S32" s="504">
        <f t="shared" si="22"/>
        <v>8430616.6037433501</v>
      </c>
      <c r="T32" s="430">
        <f t="shared" si="22"/>
        <v>8803322.6439170204</v>
      </c>
      <c r="U32" s="430">
        <f t="shared" si="22"/>
        <v>9183769.6021193787</v>
      </c>
      <c r="V32" s="430">
        <f t="shared" si="22"/>
        <v>9572087.7236933745</v>
      </c>
      <c r="W32" s="504">
        <f t="shared" si="22"/>
        <v>8064111.1762728263</v>
      </c>
      <c r="X32" s="504">
        <f t="shared" si="22"/>
        <v>3522863.3463674514</v>
      </c>
      <c r="Y32" s="504">
        <f t="shared" si="22"/>
        <v>3624083.7683425955</v>
      </c>
      <c r="Z32" s="430">
        <f t="shared" si="22"/>
        <v>3722347.5172564369</v>
      </c>
      <c r="AA32" s="430">
        <f t="shared" si="22"/>
        <v>3817300.6180947702</v>
      </c>
      <c r="AB32" s="430">
        <f t="shared" si="22"/>
        <v>3908565.5420096908</v>
      </c>
      <c r="AC32" s="430">
        <f t="shared" si="22"/>
        <v>0</v>
      </c>
      <c r="AD32" s="430">
        <f t="shared" si="22"/>
        <v>0</v>
      </c>
      <c r="AE32" s="430">
        <f t="shared" si="22"/>
        <v>0</v>
      </c>
      <c r="AF32" s="430">
        <f t="shared" si="22"/>
        <v>0</v>
      </c>
      <c r="AG32" s="430">
        <f t="shared" si="22"/>
        <v>0</v>
      </c>
      <c r="AH32" s="430">
        <f t="shared" si="22"/>
        <v>0</v>
      </c>
      <c r="AI32" s="504">
        <f t="shared" si="22"/>
        <v>0</v>
      </c>
      <c r="AJ32" s="430">
        <f t="shared" si="22"/>
        <v>0</v>
      </c>
      <c r="AK32" s="430">
        <f t="shared" si="22"/>
        <v>0</v>
      </c>
      <c r="AL32" s="485">
        <f t="shared" si="22"/>
        <v>0</v>
      </c>
      <c r="AM32" s="468"/>
      <c r="AN32" s="467"/>
      <c r="AQ32" s="545">
        <v>27</v>
      </c>
    </row>
    <row r="33" spans="1:45" ht="16.2" thickTop="1">
      <c r="A33" s="470" t="s">
        <v>15</v>
      </c>
      <c r="B33" s="478"/>
      <c r="C33" s="462">
        <v>5</v>
      </c>
      <c r="D33" s="426"/>
      <c r="E33" s="467"/>
      <c r="F33" s="468"/>
      <c r="G33" s="553"/>
      <c r="H33" s="539"/>
      <c r="I33" s="536"/>
      <c r="J33" s="523"/>
      <c r="K33" s="523"/>
      <c r="L33" s="523"/>
      <c r="M33" s="523"/>
      <c r="N33" s="523"/>
      <c r="O33" s="523"/>
      <c r="P33" s="523"/>
      <c r="Q33" s="523"/>
      <c r="R33" s="523"/>
      <c r="S33" s="497"/>
      <c r="T33" s="523"/>
      <c r="U33" s="523"/>
      <c r="V33" s="523"/>
      <c r="W33" s="497"/>
      <c r="X33" s="497"/>
      <c r="Y33" s="497"/>
      <c r="Z33" s="523"/>
      <c r="AA33" s="523"/>
      <c r="AB33" s="523"/>
      <c r="AC33" s="523"/>
      <c r="AD33" s="523"/>
      <c r="AE33" s="523"/>
      <c r="AF33" s="523"/>
      <c r="AG33" s="523"/>
      <c r="AH33" s="523"/>
      <c r="AI33" s="497"/>
      <c r="AJ33" s="523"/>
      <c r="AK33" s="523"/>
      <c r="AL33" s="505"/>
      <c r="AM33" s="468"/>
      <c r="AN33" s="467"/>
      <c r="AQ33" s="545">
        <v>28</v>
      </c>
    </row>
    <row r="34" spans="1:45" ht="15.6">
      <c r="A34" s="495" t="s">
        <v>4</v>
      </c>
      <c r="B34" s="508"/>
      <c r="C34" s="483"/>
      <c r="E34" s="467"/>
      <c r="F34" s="468"/>
      <c r="G34" s="446" t="s">
        <v>28</v>
      </c>
      <c r="H34" s="548"/>
      <c r="I34" s="522">
        <f t="shared" ref="I34:AL34" si="23">IF($C$20&lt;&gt;0,MAX((($C$20+1-I6)/$C$20),0),0)*($C$7*$C$8/100)*(IF(I6&gt;$C$31,0,$C$19))</f>
        <v>16364873.636000015</v>
      </c>
      <c r="J34" s="522">
        <f t="shared" si="23"/>
        <v>13091898.908800013</v>
      </c>
      <c r="K34" s="522">
        <f t="shared" si="23"/>
        <v>9818924.1816000082</v>
      </c>
      <c r="L34" s="522">
        <f t="shared" si="23"/>
        <v>6545949.4544000067</v>
      </c>
      <c r="M34" s="522">
        <f t="shared" si="23"/>
        <v>3272974.7272000033</v>
      </c>
      <c r="N34" s="522">
        <f t="shared" si="23"/>
        <v>0</v>
      </c>
      <c r="O34" s="522">
        <f t="shared" si="23"/>
        <v>0</v>
      </c>
      <c r="P34" s="522">
        <f t="shared" si="23"/>
        <v>0</v>
      </c>
      <c r="Q34" s="522">
        <f t="shared" si="23"/>
        <v>0</v>
      </c>
      <c r="R34" s="522">
        <f t="shared" si="23"/>
        <v>0</v>
      </c>
      <c r="S34" s="522">
        <f t="shared" si="23"/>
        <v>0</v>
      </c>
      <c r="T34" s="522">
        <f t="shared" si="23"/>
        <v>0</v>
      </c>
      <c r="U34" s="522">
        <f t="shared" si="23"/>
        <v>0</v>
      </c>
      <c r="V34" s="522">
        <f t="shared" si="23"/>
        <v>0</v>
      </c>
      <c r="W34" s="522">
        <f t="shared" si="23"/>
        <v>0</v>
      </c>
      <c r="X34" s="522">
        <f t="shared" si="23"/>
        <v>0</v>
      </c>
      <c r="Y34" s="522">
        <f t="shared" si="23"/>
        <v>0</v>
      </c>
      <c r="Z34" s="522">
        <f t="shared" si="23"/>
        <v>0</v>
      </c>
      <c r="AA34" s="522">
        <f t="shared" si="23"/>
        <v>0</v>
      </c>
      <c r="AB34" s="522">
        <f t="shared" si="23"/>
        <v>0</v>
      </c>
      <c r="AC34" s="522">
        <f t="shared" si="23"/>
        <v>0</v>
      </c>
      <c r="AD34" s="522">
        <f t="shared" si="23"/>
        <v>0</v>
      </c>
      <c r="AE34" s="522">
        <f t="shared" si="23"/>
        <v>0</v>
      </c>
      <c r="AF34" s="522">
        <f t="shared" si="23"/>
        <v>0</v>
      </c>
      <c r="AG34" s="522">
        <f t="shared" si="23"/>
        <v>0</v>
      </c>
      <c r="AH34" s="522">
        <f t="shared" si="23"/>
        <v>0</v>
      </c>
      <c r="AI34" s="522">
        <f t="shared" si="23"/>
        <v>0</v>
      </c>
      <c r="AJ34" s="522">
        <f t="shared" si="23"/>
        <v>0</v>
      </c>
      <c r="AK34" s="522">
        <f t="shared" si="23"/>
        <v>0</v>
      </c>
      <c r="AL34" s="540">
        <f t="shared" si="23"/>
        <v>0</v>
      </c>
      <c r="AM34" s="468"/>
      <c r="AN34" s="467"/>
      <c r="AQ34" s="545">
        <v>29</v>
      </c>
    </row>
    <row r="35" spans="1:45" ht="15.6">
      <c r="A35" s="474" t="s">
        <v>5</v>
      </c>
      <c r="B35" s="530" t="s">
        <v>89</v>
      </c>
      <c r="C35" s="567">
        <f>2%*C6</f>
        <v>4500000</v>
      </c>
      <c r="E35" s="467"/>
      <c r="F35" s="468"/>
      <c r="G35" s="591" t="s">
        <v>26</v>
      </c>
      <c r="H35" s="548"/>
      <c r="I35" s="522">
        <f>IF($C$22="NO",0,-I34*$C$29)</f>
        <v>-6483762.9345832057</v>
      </c>
      <c r="J35" s="522">
        <f t="shared" ref="J35:AL35" si="24">IF($C$22="NO",0,-J34*$C$29)</f>
        <v>-5187010.3476665653</v>
      </c>
      <c r="K35" s="522">
        <f t="shared" si="24"/>
        <v>-3890257.7607499231</v>
      </c>
      <c r="L35" s="522">
        <f t="shared" si="24"/>
        <v>-2593505.1738332827</v>
      </c>
      <c r="M35" s="522">
        <f>IF($C$22="NO",0,-M34*$C$29)</f>
        <v>-1296752.5869166413</v>
      </c>
      <c r="N35" s="522">
        <f t="shared" si="24"/>
        <v>0</v>
      </c>
      <c r="O35" s="522">
        <f t="shared" si="24"/>
        <v>0</v>
      </c>
      <c r="P35" s="522">
        <f t="shared" si="24"/>
        <v>0</v>
      </c>
      <c r="Q35" s="522">
        <f t="shared" si="24"/>
        <v>0</v>
      </c>
      <c r="R35" s="522">
        <f t="shared" si="24"/>
        <v>0</v>
      </c>
      <c r="S35" s="522">
        <f t="shared" si="24"/>
        <v>0</v>
      </c>
      <c r="T35" s="522">
        <f t="shared" si="24"/>
        <v>0</v>
      </c>
      <c r="U35" s="522">
        <f t="shared" si="24"/>
        <v>0</v>
      </c>
      <c r="V35" s="522">
        <f t="shared" si="24"/>
        <v>0</v>
      </c>
      <c r="W35" s="522">
        <f t="shared" si="24"/>
        <v>0</v>
      </c>
      <c r="X35" s="522">
        <f t="shared" si="24"/>
        <v>0</v>
      </c>
      <c r="Y35" s="522">
        <f t="shared" si="24"/>
        <v>0</v>
      </c>
      <c r="Z35" s="522">
        <f t="shared" si="24"/>
        <v>0</v>
      </c>
      <c r="AA35" s="522">
        <f t="shared" si="24"/>
        <v>0</v>
      </c>
      <c r="AB35" s="522">
        <f t="shared" si="24"/>
        <v>0</v>
      </c>
      <c r="AC35" s="522">
        <f t="shared" si="24"/>
        <v>0</v>
      </c>
      <c r="AD35" s="522">
        <f t="shared" si="24"/>
        <v>0</v>
      </c>
      <c r="AE35" s="522">
        <f t="shared" si="24"/>
        <v>0</v>
      </c>
      <c r="AF35" s="522">
        <f t="shared" si="24"/>
        <v>0</v>
      </c>
      <c r="AG35" s="522">
        <f t="shared" si="24"/>
        <v>0</v>
      </c>
      <c r="AH35" s="522">
        <f t="shared" si="24"/>
        <v>0</v>
      </c>
      <c r="AI35" s="522">
        <f t="shared" si="24"/>
        <v>0</v>
      </c>
      <c r="AJ35" s="522">
        <f t="shared" si="24"/>
        <v>0</v>
      </c>
      <c r="AK35" s="522">
        <f t="shared" si="24"/>
        <v>0</v>
      </c>
      <c r="AL35" s="540">
        <f t="shared" si="24"/>
        <v>0</v>
      </c>
      <c r="AM35" s="468"/>
      <c r="AN35" s="467"/>
      <c r="AQ35" s="545">
        <v>30</v>
      </c>
    </row>
    <row r="36" spans="1:45" ht="16.2" thickBot="1">
      <c r="A36" s="474" t="s">
        <v>6</v>
      </c>
      <c r="B36" s="530" t="s">
        <v>89</v>
      </c>
      <c r="C36" s="567">
        <v>0</v>
      </c>
      <c r="D36" s="425"/>
      <c r="E36" s="467"/>
      <c r="F36" s="468"/>
      <c r="G36" s="447" t="s">
        <v>41</v>
      </c>
      <c r="H36" s="538"/>
      <c r="I36" s="431">
        <f>I34+I32+I35</f>
        <v>15918610.745139521</v>
      </c>
      <c r="J36" s="432">
        <f t="shared" ref="J36:AL36" si="25">J34+J32+J35</f>
        <v>14305734.795234557</v>
      </c>
      <c r="K36" s="432">
        <f t="shared" si="25"/>
        <v>12701495.676529353</v>
      </c>
      <c r="L36" s="432">
        <f t="shared" si="25"/>
        <v>11106099.61857038</v>
      </c>
      <c r="M36" s="432">
        <f t="shared" si="25"/>
        <v>9519757.798953183</v>
      </c>
      <c r="N36" s="432">
        <f>N34+N32+N35</f>
        <v>7942686.4626415754</v>
      </c>
      <c r="O36" s="432">
        <f t="shared" si="25"/>
        <v>7014615.6946885241</v>
      </c>
      <c r="P36" s="432">
        <f t="shared" si="25"/>
        <v>7357649.3408550518</v>
      </c>
      <c r="Q36" s="432">
        <f t="shared" si="25"/>
        <v>7707908.7838992774</v>
      </c>
      <c r="R36" s="432">
        <f t="shared" si="25"/>
        <v>8065521.710570056</v>
      </c>
      <c r="S36" s="501">
        <f t="shared" si="25"/>
        <v>8430616.6037433501</v>
      </c>
      <c r="T36" s="432">
        <f t="shared" si="25"/>
        <v>8803322.6439170204</v>
      </c>
      <c r="U36" s="432">
        <f t="shared" si="25"/>
        <v>9183769.6021193787</v>
      </c>
      <c r="V36" s="432">
        <f t="shared" si="25"/>
        <v>9572087.7236933745</v>
      </c>
      <c r="W36" s="501">
        <f t="shared" si="25"/>
        <v>8064111.1762728263</v>
      </c>
      <c r="X36" s="501">
        <f t="shared" si="25"/>
        <v>3522863.3463674514</v>
      </c>
      <c r="Y36" s="501">
        <f t="shared" si="25"/>
        <v>3624083.7683425955</v>
      </c>
      <c r="Z36" s="432">
        <f t="shared" si="25"/>
        <v>3722347.5172564369</v>
      </c>
      <c r="AA36" s="432">
        <f t="shared" si="25"/>
        <v>3817300.6180947702</v>
      </c>
      <c r="AB36" s="432">
        <f t="shared" si="25"/>
        <v>3908565.5420096908</v>
      </c>
      <c r="AC36" s="432">
        <f t="shared" si="25"/>
        <v>0</v>
      </c>
      <c r="AD36" s="432">
        <f t="shared" si="25"/>
        <v>0</v>
      </c>
      <c r="AE36" s="432">
        <f t="shared" si="25"/>
        <v>0</v>
      </c>
      <c r="AF36" s="432">
        <f t="shared" si="25"/>
        <v>0</v>
      </c>
      <c r="AG36" s="432">
        <f t="shared" si="25"/>
        <v>0</v>
      </c>
      <c r="AH36" s="432">
        <f t="shared" si="25"/>
        <v>0</v>
      </c>
      <c r="AI36" s="501">
        <f t="shared" si="25"/>
        <v>0</v>
      </c>
      <c r="AJ36" s="432">
        <f t="shared" si="25"/>
        <v>0</v>
      </c>
      <c r="AK36" s="432">
        <f t="shared" si="25"/>
        <v>0</v>
      </c>
      <c r="AL36" s="498">
        <f t="shared" si="25"/>
        <v>0</v>
      </c>
      <c r="AM36" s="468"/>
      <c r="AN36" s="467"/>
    </row>
    <row r="37" spans="1:45" ht="16.2" thickTop="1">
      <c r="A37" s="474" t="s">
        <v>7</v>
      </c>
      <c r="B37" s="530" t="s">
        <v>89</v>
      </c>
      <c r="C37" s="567">
        <v>0</v>
      </c>
      <c r="D37" s="425"/>
      <c r="E37" s="467"/>
      <c r="F37" s="468"/>
      <c r="G37" s="553"/>
      <c r="H37" s="539"/>
      <c r="I37" s="537"/>
      <c r="J37" s="522"/>
      <c r="K37" s="522"/>
      <c r="L37" s="522"/>
      <c r="M37" s="522"/>
      <c r="N37" s="522"/>
      <c r="O37" s="522"/>
      <c r="P37" s="522"/>
      <c r="Q37" s="522"/>
      <c r="R37" s="522"/>
      <c r="S37" s="490"/>
      <c r="T37" s="522"/>
      <c r="U37" s="522"/>
      <c r="V37" s="522"/>
      <c r="W37" s="490"/>
      <c r="X37" s="490"/>
      <c r="Y37" s="490"/>
      <c r="Z37" s="522"/>
      <c r="AA37" s="522"/>
      <c r="AB37" s="522"/>
      <c r="AC37" s="522"/>
      <c r="AD37" s="522"/>
      <c r="AE37" s="522"/>
      <c r="AF37" s="522"/>
      <c r="AG37" s="522"/>
      <c r="AH37" s="522"/>
      <c r="AI37" s="490"/>
      <c r="AJ37" s="522"/>
      <c r="AK37" s="522"/>
      <c r="AL37" s="540"/>
      <c r="AM37" s="468"/>
      <c r="AN37" s="467"/>
    </row>
    <row r="38" spans="1:45" ht="16.2" thickBot="1">
      <c r="A38" s="474" t="s">
        <v>139</v>
      </c>
      <c r="B38" s="530" t="s">
        <v>89</v>
      </c>
      <c r="C38" s="567">
        <v>0</v>
      </c>
      <c r="D38" s="425"/>
      <c r="E38" s="467"/>
      <c r="F38" s="468"/>
      <c r="G38" s="446" t="s">
        <v>38</v>
      </c>
      <c r="H38" s="549"/>
      <c r="I38" s="427">
        <f t="shared" ref="I38:AL38" si="26">IF(I6&gt;$C$31,0,(I32)/(1+$C$27)^(I6-0.5))</f>
        <v>5784734.020618191</v>
      </c>
      <c r="J38" s="427">
        <f t="shared" si="26"/>
        <v>5630100.3916325755</v>
      </c>
      <c r="K38" s="427">
        <f t="shared" si="26"/>
        <v>5468917.4500549836</v>
      </c>
      <c r="L38" s="427">
        <f t="shared" si="26"/>
        <v>5302879.3879604777</v>
      </c>
      <c r="M38" s="427">
        <f t="shared" si="26"/>
        <v>5133471.8075322006</v>
      </c>
      <c r="N38" s="427">
        <f t="shared" si="26"/>
        <v>4961993.0214478076</v>
      </c>
      <c r="O38" s="427">
        <f t="shared" si="26"/>
        <v>4022954.3916263976</v>
      </c>
      <c r="P38" s="427">
        <f t="shared" si="26"/>
        <v>3873760.8766312408</v>
      </c>
      <c r="Q38" s="427">
        <f t="shared" si="26"/>
        <v>3725484.7128719925</v>
      </c>
      <c r="R38" s="427">
        <f t="shared" si="26"/>
        <v>3578748.5086446032</v>
      </c>
      <c r="S38" s="427">
        <f t="shared" si="26"/>
        <v>3434081.1317044892</v>
      </c>
      <c r="T38" s="427">
        <f t="shared" si="26"/>
        <v>3291927.9960463513</v>
      </c>
      <c r="U38" s="427">
        <f t="shared" si="26"/>
        <v>3152660.3471634695</v>
      </c>
      <c r="V38" s="427">
        <f t="shared" si="26"/>
        <v>3016583.6375004677</v>
      </c>
      <c r="W38" s="427">
        <f t="shared" si="26"/>
        <v>2333015.9283647086</v>
      </c>
      <c r="X38" s="427">
        <f t="shared" si="26"/>
        <v>935641.53055526479</v>
      </c>
      <c r="Y38" s="427">
        <f t="shared" si="26"/>
        <v>883617.72208455415</v>
      </c>
      <c r="Z38" s="427">
        <f t="shared" si="26"/>
        <v>833173.7962857777</v>
      </c>
      <c r="AA38" s="427">
        <f t="shared" si="26"/>
        <v>784381.86726919899</v>
      </c>
      <c r="AB38" s="427">
        <f t="shared" si="26"/>
        <v>737294.64246406651</v>
      </c>
      <c r="AC38" s="427">
        <f t="shared" si="26"/>
        <v>0</v>
      </c>
      <c r="AD38" s="427">
        <f t="shared" si="26"/>
        <v>0</v>
      </c>
      <c r="AE38" s="427">
        <f t="shared" si="26"/>
        <v>0</v>
      </c>
      <c r="AF38" s="427">
        <f t="shared" si="26"/>
        <v>0</v>
      </c>
      <c r="AG38" s="427">
        <f t="shared" si="26"/>
        <v>0</v>
      </c>
      <c r="AH38" s="427">
        <f t="shared" si="26"/>
        <v>0</v>
      </c>
      <c r="AI38" s="427">
        <f t="shared" si="26"/>
        <v>0</v>
      </c>
      <c r="AJ38" s="427">
        <f t="shared" si="26"/>
        <v>0</v>
      </c>
      <c r="AK38" s="427">
        <f t="shared" si="26"/>
        <v>0</v>
      </c>
      <c r="AL38" s="499">
        <f t="shared" si="26"/>
        <v>0</v>
      </c>
      <c r="AM38" s="468"/>
      <c r="AN38" s="467"/>
      <c r="AQ38" s="545" t="s">
        <v>99</v>
      </c>
    </row>
    <row r="39" spans="1:45" ht="16.8" thickTop="1" thickBot="1">
      <c r="A39" s="495" t="s">
        <v>35</v>
      </c>
      <c r="B39" s="575"/>
      <c r="C39" s="419"/>
      <c r="E39" s="467"/>
      <c r="F39" s="468"/>
      <c r="G39" s="446" t="s">
        <v>39</v>
      </c>
      <c r="H39" s="549"/>
      <c r="I39" s="427">
        <f t="shared" ref="I39:AL39" si="27">IF(I6&gt;$C$31,0,(I36)/(1+$C$27)^(I6-0.5))</f>
        <v>15252162.06567635</v>
      </c>
      <c r="J39" s="427">
        <f t="shared" si="27"/>
        <v>12583136.686543554</v>
      </c>
      <c r="K39" s="427">
        <f t="shared" si="27"/>
        <v>10256191.131486392</v>
      </c>
      <c r="L39" s="427">
        <f t="shared" si="27"/>
        <v>8232757.0962327076</v>
      </c>
      <c r="M39" s="427">
        <f t="shared" si="27"/>
        <v>6478316.0691094669</v>
      </c>
      <c r="N39" s="427">
        <f t="shared" si="27"/>
        <v>4961993.0214478076</v>
      </c>
      <c r="O39" s="427">
        <f t="shared" si="27"/>
        <v>4022954.3916263976</v>
      </c>
      <c r="P39" s="427">
        <f t="shared" si="27"/>
        <v>3873760.8766312408</v>
      </c>
      <c r="Q39" s="427">
        <f t="shared" si="27"/>
        <v>3725484.7128719925</v>
      </c>
      <c r="R39" s="427">
        <f t="shared" si="27"/>
        <v>3578748.5086446032</v>
      </c>
      <c r="S39" s="427">
        <f t="shared" si="27"/>
        <v>3434081.1317044892</v>
      </c>
      <c r="T39" s="427">
        <f t="shared" si="27"/>
        <v>3291927.9960463513</v>
      </c>
      <c r="U39" s="427">
        <f t="shared" si="27"/>
        <v>3152660.3471634695</v>
      </c>
      <c r="V39" s="427">
        <f t="shared" si="27"/>
        <v>3016583.6375004677</v>
      </c>
      <c r="W39" s="427">
        <f t="shared" si="27"/>
        <v>2333015.9283647086</v>
      </c>
      <c r="X39" s="427">
        <f t="shared" si="27"/>
        <v>935641.53055526479</v>
      </c>
      <c r="Y39" s="427">
        <f t="shared" si="27"/>
        <v>883617.72208455415</v>
      </c>
      <c r="Z39" s="427">
        <f t="shared" si="27"/>
        <v>833173.7962857777</v>
      </c>
      <c r="AA39" s="427">
        <f t="shared" si="27"/>
        <v>784381.86726919899</v>
      </c>
      <c r="AB39" s="427">
        <f t="shared" si="27"/>
        <v>737294.64246406651</v>
      </c>
      <c r="AC39" s="427">
        <f t="shared" si="27"/>
        <v>0</v>
      </c>
      <c r="AD39" s="427">
        <f t="shared" si="27"/>
        <v>0</v>
      </c>
      <c r="AE39" s="427">
        <f t="shared" si="27"/>
        <v>0</v>
      </c>
      <c r="AF39" s="427">
        <f t="shared" si="27"/>
        <v>0</v>
      </c>
      <c r="AG39" s="427">
        <f t="shared" si="27"/>
        <v>0</v>
      </c>
      <c r="AH39" s="427">
        <f t="shared" si="27"/>
        <v>0</v>
      </c>
      <c r="AI39" s="427">
        <f t="shared" si="27"/>
        <v>0</v>
      </c>
      <c r="AJ39" s="427">
        <f t="shared" si="27"/>
        <v>0</v>
      </c>
      <c r="AK39" s="427">
        <f t="shared" si="27"/>
        <v>0</v>
      </c>
      <c r="AL39" s="499">
        <f t="shared" si="27"/>
        <v>0</v>
      </c>
      <c r="AM39" s="468"/>
      <c r="AN39" s="467"/>
      <c r="AQ39" s="572">
        <f>'ICAP Price&amp;Impact'!N31</f>
        <v>-6.6769999999999998E-3</v>
      </c>
    </row>
    <row r="40" spans="1:45" ht="16.8" thickTop="1" thickBot="1">
      <c r="A40" s="474" t="s">
        <v>90</v>
      </c>
      <c r="B40" s="519"/>
      <c r="C40" s="593">
        <f>((1+C26)/(1+C$28))-1</f>
        <v>3.0009775171065733E-2</v>
      </c>
      <c r="E40" s="467"/>
      <c r="F40" s="468"/>
      <c r="G40" s="448"/>
      <c r="H40" s="449"/>
      <c r="I40" s="449"/>
      <c r="J40" s="449"/>
      <c r="K40" s="449"/>
      <c r="L40" s="449"/>
      <c r="M40" s="449"/>
      <c r="N40" s="449"/>
      <c r="O40" s="449"/>
      <c r="P40" s="449"/>
      <c r="Q40" s="449"/>
      <c r="R40" s="449"/>
      <c r="S40" s="479"/>
      <c r="T40" s="481"/>
      <c r="U40" s="481"/>
      <c r="V40" s="481"/>
      <c r="W40" s="481"/>
      <c r="X40" s="481"/>
      <c r="Y40" s="481"/>
      <c r="Z40" s="481"/>
      <c r="AA40" s="481"/>
      <c r="AB40" s="481"/>
      <c r="AC40" s="481"/>
      <c r="AD40" s="481"/>
      <c r="AE40" s="481"/>
      <c r="AF40" s="481"/>
      <c r="AG40" s="481"/>
      <c r="AH40" s="481"/>
      <c r="AI40" s="481"/>
      <c r="AJ40" s="481"/>
      <c r="AK40" s="481"/>
      <c r="AL40" s="459"/>
      <c r="AM40" s="468"/>
      <c r="AN40" s="467"/>
    </row>
    <row r="41" spans="1:45" ht="16.2" thickBot="1">
      <c r="A41" s="474" t="s">
        <v>91</v>
      </c>
      <c r="B41" s="519"/>
      <c r="C41" s="593">
        <f>((1+C27)/(1+C$28))-1</f>
        <v>6.4809384164222994E-2</v>
      </c>
      <c r="D41" s="534"/>
      <c r="E41" s="467"/>
      <c r="F41" s="468"/>
      <c r="G41" s="487" t="s">
        <v>24</v>
      </c>
      <c r="H41" s="492"/>
      <c r="I41" s="492"/>
      <c r="J41" s="492"/>
      <c r="K41" s="492"/>
      <c r="L41" s="492"/>
      <c r="M41" s="492"/>
      <c r="N41" s="492"/>
      <c r="O41" s="492"/>
      <c r="P41" s="492"/>
      <c r="Q41" s="492"/>
      <c r="R41" s="492"/>
      <c r="S41" s="492"/>
      <c r="T41" s="492"/>
      <c r="U41" s="492"/>
      <c r="V41" s="492"/>
      <c r="W41" s="492"/>
      <c r="X41" s="492"/>
      <c r="Y41" s="492"/>
      <c r="Z41" s="492"/>
      <c r="AA41" s="492"/>
      <c r="AB41" s="492"/>
      <c r="AC41" s="492"/>
      <c r="AD41" s="492"/>
      <c r="AE41" s="492"/>
      <c r="AF41" s="492"/>
      <c r="AG41" s="492"/>
      <c r="AH41" s="492"/>
      <c r="AI41" s="492"/>
      <c r="AJ41" s="492"/>
      <c r="AK41" s="492"/>
      <c r="AL41" s="493"/>
      <c r="AM41" s="468"/>
      <c r="AN41" s="467"/>
    </row>
    <row r="42" spans="1:45" ht="15.6">
      <c r="A42" s="474" t="s">
        <v>92</v>
      </c>
      <c r="B42" s="519"/>
      <c r="C42" s="593">
        <f>C24*C40+C25*C41</f>
        <v>4.7409579667644364E-2</v>
      </c>
      <c r="E42" s="467"/>
      <c r="F42" s="468"/>
      <c r="G42" s="453" t="s">
        <v>43</v>
      </c>
      <c r="H42" s="555"/>
      <c r="I42" s="516">
        <f>IF($C$32="MACRS",VLOOKUP($C$33,'Depreciation Tables'!$B$35:$AF$40,I6+1),IF($C$32="StraightLine",VLOOKUP($C$33,'Depreciation Tables'!$B$3:$AF$32,I6+1),VLOOKUP($C$33,'Depreciation Tables'!$B$43:$AF$44,I6+1)))</f>
        <v>0.2</v>
      </c>
      <c r="J42" s="516">
        <f>IF($C$32="MACRS",VLOOKUP($C$33,'Depreciation Tables'!$B$35:$AF$40,J6+1),IF($C$32="StraightLine",VLOOKUP($C$33,'Depreciation Tables'!$B$3:$AF$32,J6+1),VLOOKUP($C$33,'Depreciation Tables'!$B$43:$AF$44,J6+1)))</f>
        <v>0.32</v>
      </c>
      <c r="K42" s="516">
        <f>IF($C$32="MACRS",VLOOKUP($C$33,'Depreciation Tables'!$B$35:$AF$40,K6+1),IF($C$32="StraightLine",VLOOKUP($C$33,'Depreciation Tables'!$B$3:$AF$32,K6+1),VLOOKUP($C$33,'Depreciation Tables'!$B$43:$AF$44,K6+1)))</f>
        <v>0.192</v>
      </c>
      <c r="L42" s="516">
        <f>IF($C$32="MACRS",VLOOKUP($C$33,'Depreciation Tables'!$B$35:$AF$40,L6+1),IF($C$32="StraightLine",VLOOKUP($C$33,'Depreciation Tables'!$B$3:$AF$32,L6+1),VLOOKUP($C$33,'Depreciation Tables'!$B$43:$AF$44,L6+1)))</f>
        <v>0.1152</v>
      </c>
      <c r="M42" s="516">
        <f>IF($C$32="MACRS",VLOOKUP($C$33,'Depreciation Tables'!$B$35:$AF$40,M6+1),IF($C$32="StraightLine",VLOOKUP($C$33,'Depreciation Tables'!$B$3:$AF$32,M6+1),VLOOKUP($C$33,'Depreciation Tables'!$B$43:$AF$44,M6+1)))</f>
        <v>0.1152</v>
      </c>
      <c r="N42" s="516">
        <f>IF($C$32="MACRS",VLOOKUP($C$33,'Depreciation Tables'!$B$35:$AF$40,N6+1),IF($C$32="StraightLine",VLOOKUP($C$33,'Depreciation Tables'!$B$3:$AF$32,N6+1),VLOOKUP($C$33,'Depreciation Tables'!$B$43:$AF$44,N6+1)))</f>
        <v>5.7599999999999998E-2</v>
      </c>
      <c r="O42" s="516">
        <f>IF($C$32="MACRS",VLOOKUP($C$33,'Depreciation Tables'!$B$35:$AF$40,O6+1),IF($C$32="StraightLine",VLOOKUP($C$33,'Depreciation Tables'!$B$3:$AF$32,O6+1),VLOOKUP($C$33,'Depreciation Tables'!$B$43:$AF$44,O6+1)))</f>
        <v>0</v>
      </c>
      <c r="P42" s="516">
        <f>IF($C$32="MACRS",VLOOKUP($C$33,'Depreciation Tables'!$B$35:$AF$40,P6+1),IF($C$32="StraightLine",VLOOKUP($C$33,'Depreciation Tables'!$B$3:$AF$32,P6+1),VLOOKUP($C$33,'Depreciation Tables'!$B$43:$AF$44,P6+1)))</f>
        <v>0</v>
      </c>
      <c r="Q42" s="516">
        <f>IF($C$32="MACRS",VLOOKUP($C$33,'Depreciation Tables'!$B$35:$AF$40,Q6+1),IF($C$32="StraightLine",VLOOKUP($C$33,'Depreciation Tables'!$B$3:$AF$32,Q6+1),VLOOKUP($C$33,'Depreciation Tables'!$B$43:$AF$44,Q6+1)))</f>
        <v>0</v>
      </c>
      <c r="R42" s="516">
        <f>IF($C$32="MACRS",VLOOKUP($C$33,'Depreciation Tables'!$B$35:$AF$40,R6+1),IF($C$32="StraightLine",VLOOKUP($C$33,'Depreciation Tables'!$B$3:$AF$32,R6+1),VLOOKUP($C$33,'Depreciation Tables'!$B$43:$AF$44,R6+1)))</f>
        <v>0</v>
      </c>
      <c r="S42" s="516">
        <f>IF($C$32="MACRS",VLOOKUP($C$33,'Depreciation Tables'!$B$35:$AF$40,S6+1),IF($C$32="StraightLine",VLOOKUP($C$33,'Depreciation Tables'!$B$3:$AF$32,S6+1),VLOOKUP($C$33,'Depreciation Tables'!$B$43:$AF$44,S6+1)))</f>
        <v>0</v>
      </c>
      <c r="T42" s="516">
        <f>IF($C$32="MACRS",VLOOKUP($C$33,'Depreciation Tables'!$B$35:$AF$40,T6+1),IF($C$32="StraightLine",VLOOKUP($C$33,'Depreciation Tables'!$B$3:$AF$32,T6+1),VLOOKUP($C$33,'Depreciation Tables'!$B$43:$AF$44,T6+1)))</f>
        <v>0</v>
      </c>
      <c r="U42" s="516">
        <f>IF($C$32="MACRS",VLOOKUP($C$33,'Depreciation Tables'!$B$35:$AF$40,U6+1),IF($C$32="StraightLine",VLOOKUP($C$33,'Depreciation Tables'!$B$3:$AF$32,U6+1),VLOOKUP($C$33,'Depreciation Tables'!$B$43:$AF$44,U6+1)))</f>
        <v>0</v>
      </c>
      <c r="V42" s="516">
        <f>IF($C$32="MACRS",VLOOKUP($C$33,'Depreciation Tables'!$B$35:$AF$40,V6+1),IF($C$32="StraightLine",VLOOKUP($C$33,'Depreciation Tables'!$B$3:$AF$32,V6+1),VLOOKUP($C$33,'Depreciation Tables'!$B$43:$AF$44,V6+1)))</f>
        <v>0</v>
      </c>
      <c r="W42" s="516">
        <f>IF($C$32="MACRS",VLOOKUP($C$33,'Depreciation Tables'!$B$35:$AF$40,W6+1),IF($C$32="StraightLine",VLOOKUP($C$33,'Depreciation Tables'!$B$3:$AF$32,W6+1),VLOOKUP($C$33,'Depreciation Tables'!$B$43:$AF$44,W6+1)))</f>
        <v>0</v>
      </c>
      <c r="X42" s="516">
        <f>IF($C$32="MACRS",VLOOKUP($C$33,'Depreciation Tables'!$B$35:$AF$40,X6+1),IF($C$32="StraightLine",VLOOKUP($C$33,'Depreciation Tables'!$B$3:$AF$32,X6+1),VLOOKUP($C$33,'Depreciation Tables'!$B$43:$AF$44,X6+1)))</f>
        <v>0</v>
      </c>
      <c r="Y42" s="516">
        <f>IF($C$32="MACRS",VLOOKUP($C$33,'Depreciation Tables'!$B$35:$AF$40,Y6+1),IF($C$32="StraightLine",VLOOKUP($C$33,'Depreciation Tables'!$B$3:$AF$32,Y6+1),VLOOKUP($C$33,'Depreciation Tables'!$B$43:$AF$44,Y6+1)))</f>
        <v>0</v>
      </c>
      <c r="Z42" s="516">
        <f>IF($C$32="MACRS",VLOOKUP($C$33,'Depreciation Tables'!$B$35:$AF$40,Z6+1),IF($C$32="StraightLine",VLOOKUP($C$33,'Depreciation Tables'!$B$3:$AF$32,Z6+1),VLOOKUP($C$33,'Depreciation Tables'!$B$43:$AF$44,Z6+1)))</f>
        <v>0</v>
      </c>
      <c r="AA42" s="516">
        <f>IF($C$32="MACRS",VLOOKUP($C$33,'Depreciation Tables'!$B$35:$AF$40,AA6+1),IF($C$32="StraightLine",VLOOKUP($C$33,'Depreciation Tables'!$B$3:$AF$32,AA6+1),VLOOKUP($C$33,'Depreciation Tables'!$B$43:$AF$44,AA6+1)))</f>
        <v>0</v>
      </c>
      <c r="AB42" s="516">
        <f>IF($C$32="MACRS",VLOOKUP($C$33,'Depreciation Tables'!$B$35:$AF$40,AB6+1),IF($C$32="StraightLine",VLOOKUP($C$33,'Depreciation Tables'!$B$3:$AF$32,AB6+1),VLOOKUP($C$33,'Depreciation Tables'!$B$43:$AF$44,AB6+1)))</f>
        <v>0</v>
      </c>
      <c r="AC42" s="516">
        <f>IF($C$32="MACRS",VLOOKUP($C$33,'Depreciation Tables'!$B$35:$AF$40,AC6+1),IF($C$32="StraightLine",VLOOKUP($C$33,'Depreciation Tables'!$B$3:$AF$32,AC6+1),VLOOKUP($C$33,'Depreciation Tables'!$B$43:$AF$44,AC6+1)))</f>
        <v>0</v>
      </c>
      <c r="AD42" s="516">
        <f>IF($C$32="MACRS",VLOOKUP($C$33,'Depreciation Tables'!$B$35:$AF$40,AD6+1),IF($C$32="StraightLine",VLOOKUP($C$33,'Depreciation Tables'!$B$3:$AF$32,AD6+1),VLOOKUP($C$33,'Depreciation Tables'!$B$43:$AF$44,AD6+1)))</f>
        <v>0</v>
      </c>
      <c r="AE42" s="516">
        <f>IF($C$32="MACRS",VLOOKUP($C$33,'Depreciation Tables'!$B$35:$AF$40,AE6+1),IF($C$32="StraightLine",VLOOKUP($C$33,'Depreciation Tables'!$B$3:$AF$32,AE6+1),VLOOKUP($C$33,'Depreciation Tables'!$B$43:$AF$44,AE6+1)))</f>
        <v>0</v>
      </c>
      <c r="AF42" s="516">
        <f>IF($C$32="MACRS",VLOOKUP($C$33,'Depreciation Tables'!$B$35:$AF$40,AF6+1),IF($C$32="StraightLine",VLOOKUP($C$33,'Depreciation Tables'!$B$3:$AF$32,AF6+1),VLOOKUP($C$33,'Depreciation Tables'!$B$43:$AF$44,AF6+1)))</f>
        <v>0</v>
      </c>
      <c r="AG42" s="516">
        <f>IF($C$32="MACRS",VLOOKUP($C$33,'Depreciation Tables'!$B$35:$AF$40,AG6+1),IF($C$32="StraightLine",VLOOKUP($C$33,'Depreciation Tables'!$B$3:$AF$32,AG6+1),VLOOKUP($C$33,'Depreciation Tables'!$B$43:$AF$44,AG6+1)))</f>
        <v>0</v>
      </c>
      <c r="AH42" s="516">
        <f>IF($C$32="MACRS",VLOOKUP($C$33,'Depreciation Tables'!$B$35:$AF$40,AH6+1),IF($C$32="StraightLine",VLOOKUP($C$33,'Depreciation Tables'!$B$3:$AF$32,AH6+1),VLOOKUP($C$33,'Depreciation Tables'!$B$43:$AF$44,AH6+1)))</f>
        <v>0</v>
      </c>
      <c r="AI42" s="516">
        <f>IF($C$32="MACRS",VLOOKUP($C$33,'Depreciation Tables'!$B$35:$AF$40,AI6+1),IF($C$32="StraightLine",VLOOKUP($C$33,'Depreciation Tables'!$B$3:$AF$32,AI6+1),VLOOKUP($C$33,'Depreciation Tables'!$B$43:$AF$44,AI6+1)))</f>
        <v>0</v>
      </c>
      <c r="AJ42" s="516">
        <f>IF($C$32="MACRS",VLOOKUP($C$33,'Depreciation Tables'!$B$35:$AF$40,AJ6+1),IF($C$32="StraightLine",VLOOKUP($C$33,'Depreciation Tables'!$B$3:$AF$32,AJ6+1),VLOOKUP($C$33,'Depreciation Tables'!$B$43:$AF$44,AJ6+1)))</f>
        <v>0</v>
      </c>
      <c r="AK42" s="516">
        <f>IF($C$32="MACRS",VLOOKUP($C$33,'Depreciation Tables'!$B$35:$AF$40,AK6+1),IF($C$32="StraightLine",VLOOKUP($C$33,'Depreciation Tables'!$B$3:$AF$32,AK6+1),VLOOKUP($C$33,'Depreciation Tables'!$B$43:$AF$44,AK6+1)))</f>
        <v>0</v>
      </c>
      <c r="AL42" s="517">
        <f>IF($C$32="MACRS",VLOOKUP($C$33,'Depreciation Tables'!$B$35:$AF$40,AL6+1),IF($C$32="StraightLine",VLOOKUP($C$33,'Depreciation Tables'!$B$3:$AF$32,AL6+1),VLOOKUP($C$33,'Depreciation Tables'!$B$43:$AF$44,AL6+1)))</f>
        <v>0</v>
      </c>
      <c r="AM42" s="468"/>
      <c r="AN42" s="467"/>
    </row>
    <row r="43" spans="1:45" ht="15.6">
      <c r="A43" s="474" t="s">
        <v>36</v>
      </c>
      <c r="B43" s="530"/>
      <c r="C43" s="522">
        <f>PMT(C26,C31,(C24*C6))</f>
        <v>-9312650.3562772851</v>
      </c>
      <c r="D43" s="534"/>
      <c r="E43" s="467"/>
      <c r="F43" s="468"/>
      <c r="G43" s="551" t="s">
        <v>30</v>
      </c>
      <c r="H43" s="528"/>
      <c r="I43" s="544">
        <f>C6</f>
        <v>225000000</v>
      </c>
      <c r="J43" s="544">
        <f>I45</f>
        <v>180000000</v>
      </c>
      <c r="K43" s="544">
        <f t="shared" ref="K43:R43" si="28">J45</f>
        <v>108000000</v>
      </c>
      <c r="L43" s="544">
        <f t="shared" si="28"/>
        <v>64800000</v>
      </c>
      <c r="M43" s="544">
        <f t="shared" si="28"/>
        <v>38880000</v>
      </c>
      <c r="N43" s="544">
        <f t="shared" si="28"/>
        <v>12960000</v>
      </c>
      <c r="O43" s="544">
        <f t="shared" si="28"/>
        <v>0</v>
      </c>
      <c r="P43" s="544">
        <f t="shared" si="28"/>
        <v>0</v>
      </c>
      <c r="Q43" s="544">
        <f t="shared" si="28"/>
        <v>0</v>
      </c>
      <c r="R43" s="544">
        <f t="shared" si="28"/>
        <v>0</v>
      </c>
      <c r="S43" s="544">
        <f t="shared" ref="S43:Y43" si="29">R45</f>
        <v>0</v>
      </c>
      <c r="T43" s="544">
        <f t="shared" si="29"/>
        <v>0</v>
      </c>
      <c r="U43" s="544">
        <f t="shared" si="29"/>
        <v>0</v>
      </c>
      <c r="V43" s="544">
        <f t="shared" si="29"/>
        <v>0</v>
      </c>
      <c r="W43" s="544">
        <f t="shared" si="29"/>
        <v>0</v>
      </c>
      <c r="X43" s="544">
        <f t="shared" si="29"/>
        <v>0</v>
      </c>
      <c r="Y43" s="544">
        <f t="shared" si="29"/>
        <v>0</v>
      </c>
      <c r="Z43" s="544">
        <f t="shared" ref="Z43:AG43" si="30">Y45</f>
        <v>0</v>
      </c>
      <c r="AA43" s="544">
        <f t="shared" si="30"/>
        <v>0</v>
      </c>
      <c r="AB43" s="544">
        <f t="shared" si="30"/>
        <v>0</v>
      </c>
      <c r="AC43" s="544">
        <f t="shared" si="30"/>
        <v>0</v>
      </c>
      <c r="AD43" s="544">
        <f t="shared" si="30"/>
        <v>0</v>
      </c>
      <c r="AE43" s="544">
        <f t="shared" si="30"/>
        <v>0</v>
      </c>
      <c r="AF43" s="544">
        <f t="shared" si="30"/>
        <v>0</v>
      </c>
      <c r="AG43" s="544">
        <f t="shared" si="30"/>
        <v>0</v>
      </c>
      <c r="AH43" s="544">
        <f>AG45</f>
        <v>0</v>
      </c>
      <c r="AI43" s="544">
        <f>AH45</f>
        <v>0</v>
      </c>
      <c r="AJ43" s="544">
        <f>AI45</f>
        <v>0</v>
      </c>
      <c r="AK43" s="544">
        <f>AJ45</f>
        <v>0</v>
      </c>
      <c r="AL43" s="557">
        <f>AK45</f>
        <v>0</v>
      </c>
      <c r="AM43" s="468"/>
      <c r="AN43" s="467"/>
    </row>
    <row r="44" spans="1:45" ht="15.6">
      <c r="A44" s="530"/>
      <c r="B44" s="530"/>
      <c r="C44" s="590"/>
      <c r="E44" s="467"/>
      <c r="F44" s="468"/>
      <c r="G44" s="551" t="s">
        <v>29</v>
      </c>
      <c r="H44" s="528"/>
      <c r="I44" s="537">
        <f>-MIN($I$43*I42,I43)</f>
        <v>-45000000</v>
      </c>
      <c r="J44" s="537">
        <f t="shared" ref="J44:AL44" si="31">-MIN($I$43*J42,J43)</f>
        <v>-72000000</v>
      </c>
      <c r="K44" s="537">
        <f t="shared" si="31"/>
        <v>-43200000</v>
      </c>
      <c r="L44" s="537">
        <f t="shared" si="31"/>
        <v>-25920000</v>
      </c>
      <c r="M44" s="537">
        <f t="shared" si="31"/>
        <v>-25920000</v>
      </c>
      <c r="N44" s="537">
        <f t="shared" si="31"/>
        <v>-12960000</v>
      </c>
      <c r="O44" s="537">
        <f t="shared" si="31"/>
        <v>0</v>
      </c>
      <c r="P44" s="537">
        <f t="shared" si="31"/>
        <v>0</v>
      </c>
      <c r="Q44" s="537">
        <f t="shared" si="31"/>
        <v>0</v>
      </c>
      <c r="R44" s="438">
        <f t="shared" si="31"/>
        <v>0</v>
      </c>
      <c r="S44" s="438">
        <f t="shared" si="31"/>
        <v>0</v>
      </c>
      <c r="T44" s="438">
        <f t="shared" si="31"/>
        <v>0</v>
      </c>
      <c r="U44" s="438">
        <f t="shared" si="31"/>
        <v>0</v>
      </c>
      <c r="V44" s="438">
        <f t="shared" si="31"/>
        <v>0</v>
      </c>
      <c r="W44" s="438">
        <f t="shared" si="31"/>
        <v>0</v>
      </c>
      <c r="X44" s="438">
        <f t="shared" si="31"/>
        <v>0</v>
      </c>
      <c r="Y44" s="438">
        <f t="shared" si="31"/>
        <v>0</v>
      </c>
      <c r="Z44" s="537">
        <f t="shared" si="31"/>
        <v>0</v>
      </c>
      <c r="AA44" s="537">
        <f t="shared" si="31"/>
        <v>0</v>
      </c>
      <c r="AB44" s="537">
        <f t="shared" si="31"/>
        <v>0</v>
      </c>
      <c r="AC44" s="537">
        <f t="shared" si="31"/>
        <v>0</v>
      </c>
      <c r="AD44" s="537">
        <f t="shared" si="31"/>
        <v>0</v>
      </c>
      <c r="AE44" s="537">
        <f t="shared" si="31"/>
        <v>0</v>
      </c>
      <c r="AF44" s="537">
        <f t="shared" si="31"/>
        <v>0</v>
      </c>
      <c r="AG44" s="438">
        <f t="shared" si="31"/>
        <v>0</v>
      </c>
      <c r="AH44" s="438">
        <f t="shared" si="31"/>
        <v>0</v>
      </c>
      <c r="AI44" s="438">
        <f t="shared" si="31"/>
        <v>0</v>
      </c>
      <c r="AJ44" s="438">
        <f t="shared" si="31"/>
        <v>0</v>
      </c>
      <c r="AK44" s="438">
        <f t="shared" si="31"/>
        <v>0</v>
      </c>
      <c r="AL44" s="514">
        <f t="shared" si="31"/>
        <v>0</v>
      </c>
      <c r="AM44" s="468"/>
      <c r="AN44" s="467"/>
      <c r="AQ44" s="596" t="s">
        <v>150</v>
      </c>
      <c r="AR44" s="595"/>
      <c r="AS44" s="597">
        <v>0.35</v>
      </c>
    </row>
    <row r="45" spans="1:45" ht="16.2" thickBot="1">
      <c r="A45" s="521"/>
      <c r="B45" s="521"/>
      <c r="C45" s="521"/>
      <c r="E45" s="467"/>
      <c r="F45" s="468"/>
      <c r="G45" s="558" t="s">
        <v>34</v>
      </c>
      <c r="H45" s="419"/>
      <c r="I45" s="435">
        <f>SUM(I43:I44)</f>
        <v>180000000</v>
      </c>
      <c r="J45" s="435">
        <f t="shared" ref="J45:R45" si="32">SUM(J43:J44)</f>
        <v>108000000</v>
      </c>
      <c r="K45" s="435">
        <f t="shared" si="32"/>
        <v>64800000</v>
      </c>
      <c r="L45" s="435">
        <f t="shared" si="32"/>
        <v>38880000</v>
      </c>
      <c r="M45" s="435">
        <f t="shared" si="32"/>
        <v>12960000</v>
      </c>
      <c r="N45" s="435">
        <f>SUM(N43:N44)</f>
        <v>0</v>
      </c>
      <c r="O45" s="435">
        <f t="shared" si="32"/>
        <v>0</v>
      </c>
      <c r="P45" s="435">
        <f t="shared" si="32"/>
        <v>0</v>
      </c>
      <c r="Q45" s="435">
        <f t="shared" si="32"/>
        <v>0</v>
      </c>
      <c r="R45" s="437">
        <f t="shared" si="32"/>
        <v>0</v>
      </c>
      <c r="S45" s="437">
        <f>SUM(S43:S44)</f>
        <v>0</v>
      </c>
      <c r="T45" s="437">
        <f t="shared" ref="T45:AB45" si="33">SUM(T43:T44)</f>
        <v>0</v>
      </c>
      <c r="U45" s="437">
        <f t="shared" si="33"/>
        <v>0</v>
      </c>
      <c r="V45" s="437">
        <f t="shared" si="33"/>
        <v>0</v>
      </c>
      <c r="W45" s="437">
        <f t="shared" si="33"/>
        <v>0</v>
      </c>
      <c r="X45" s="437">
        <f t="shared" si="33"/>
        <v>0</v>
      </c>
      <c r="Y45" s="437">
        <f t="shared" si="33"/>
        <v>0</v>
      </c>
      <c r="Z45" s="435">
        <f t="shared" si="33"/>
        <v>0</v>
      </c>
      <c r="AA45" s="435">
        <f t="shared" si="33"/>
        <v>0</v>
      </c>
      <c r="AB45" s="435">
        <f t="shared" si="33"/>
        <v>0</v>
      </c>
      <c r="AC45" s="435">
        <f t="shared" ref="AC45:AL45" si="34">SUM(AC43:AC44)</f>
        <v>0</v>
      </c>
      <c r="AD45" s="435">
        <f t="shared" si="34"/>
        <v>0</v>
      </c>
      <c r="AE45" s="435">
        <f t="shared" si="34"/>
        <v>0</v>
      </c>
      <c r="AF45" s="435">
        <f t="shared" si="34"/>
        <v>0</v>
      </c>
      <c r="AG45" s="437">
        <f t="shared" si="34"/>
        <v>0</v>
      </c>
      <c r="AH45" s="437">
        <f t="shared" si="34"/>
        <v>0</v>
      </c>
      <c r="AI45" s="437">
        <f t="shared" si="34"/>
        <v>0</v>
      </c>
      <c r="AJ45" s="437">
        <f t="shared" si="34"/>
        <v>0</v>
      </c>
      <c r="AK45" s="437">
        <f t="shared" si="34"/>
        <v>0</v>
      </c>
      <c r="AL45" s="513">
        <f t="shared" si="34"/>
        <v>0</v>
      </c>
      <c r="AM45" s="468"/>
      <c r="AN45" s="467"/>
      <c r="AQ45" s="596" t="s">
        <v>151</v>
      </c>
      <c r="AR45" s="595"/>
      <c r="AS45" s="597">
        <v>7.0999999999999994E-2</v>
      </c>
    </row>
    <row r="46" spans="1:45" ht="19.2" thickTop="1" thickBot="1">
      <c r="A46" s="578" t="s">
        <v>42</v>
      </c>
      <c r="B46" s="579"/>
      <c r="C46" s="580"/>
      <c r="E46" s="467"/>
      <c r="F46" s="468"/>
      <c r="G46" s="448"/>
      <c r="H46" s="449"/>
      <c r="I46" s="546"/>
      <c r="J46" s="449"/>
      <c r="K46" s="449"/>
      <c r="L46" s="449"/>
      <c r="M46" s="449"/>
      <c r="N46" s="449"/>
      <c r="O46" s="449"/>
      <c r="P46" s="449"/>
      <c r="Q46" s="449"/>
      <c r="R46" s="449"/>
      <c r="S46" s="479"/>
      <c r="T46" s="481"/>
      <c r="U46" s="481"/>
      <c r="V46" s="481"/>
      <c r="W46" s="481"/>
      <c r="X46" s="481"/>
      <c r="Y46" s="481"/>
      <c r="Z46" s="481"/>
      <c r="AA46" s="481"/>
      <c r="AB46" s="481"/>
      <c r="AC46" s="481"/>
      <c r="AD46" s="481"/>
      <c r="AE46" s="481"/>
      <c r="AF46" s="481"/>
      <c r="AG46" s="481"/>
      <c r="AH46" s="481"/>
      <c r="AI46" s="481"/>
      <c r="AJ46" s="481"/>
      <c r="AK46" s="481"/>
      <c r="AL46" s="459"/>
      <c r="AM46" s="468"/>
      <c r="AN46" s="467"/>
      <c r="AQ46" s="596" t="s">
        <v>152</v>
      </c>
      <c r="AR46" s="595"/>
      <c r="AS46" s="598">
        <v>8.8499999999999995E-2</v>
      </c>
    </row>
    <row r="47" spans="1:45" ht="18.600000000000001" thickBot="1">
      <c r="A47" s="581" t="s">
        <v>37</v>
      </c>
      <c r="B47" s="582"/>
      <c r="C47" s="587">
        <f ca="1">SUM(I38:OFFSET($H$38,0,$C$31))-($C$6*C25)</f>
        <v>-45614576.831541203</v>
      </c>
      <c r="E47" s="467"/>
      <c r="F47" s="468"/>
      <c r="G47" s="487" t="s">
        <v>31</v>
      </c>
      <c r="H47" s="492"/>
      <c r="I47" s="492"/>
      <c r="J47" s="492"/>
      <c r="K47" s="492"/>
      <c r="L47" s="492"/>
      <c r="M47" s="492"/>
      <c r="N47" s="492"/>
      <c r="O47" s="492"/>
      <c r="P47" s="492"/>
      <c r="Q47" s="492"/>
      <c r="R47" s="492"/>
      <c r="S47" s="492"/>
      <c r="T47" s="492"/>
      <c r="U47" s="492"/>
      <c r="V47" s="492"/>
      <c r="W47" s="492"/>
      <c r="X47" s="492"/>
      <c r="Y47" s="492"/>
      <c r="Z47" s="492"/>
      <c r="AA47" s="492"/>
      <c r="AB47" s="492"/>
      <c r="AC47" s="492"/>
      <c r="AD47" s="492"/>
      <c r="AE47" s="492"/>
      <c r="AF47" s="492"/>
      <c r="AG47" s="492"/>
      <c r="AH47" s="492"/>
      <c r="AI47" s="492"/>
      <c r="AJ47" s="492"/>
      <c r="AK47" s="492"/>
      <c r="AL47" s="493"/>
      <c r="AM47" s="468"/>
      <c r="AN47" s="467"/>
      <c r="AQ47" s="596" t="s">
        <v>14</v>
      </c>
      <c r="AR47" s="595"/>
      <c r="AS47" s="597">
        <f>AS44+(1-AS44)*(AS45+AS46)</f>
        <v>0.45367499999999994</v>
      </c>
    </row>
    <row r="48" spans="1:45" ht="18.600000000000001" thickBot="1">
      <c r="A48" s="583" t="s">
        <v>105</v>
      </c>
      <c r="B48" s="576"/>
      <c r="C48" s="584"/>
      <c r="E48" s="467"/>
      <c r="F48" s="468"/>
      <c r="G48" s="554" t="s">
        <v>30</v>
      </c>
      <c r="H48" s="555"/>
      <c r="I48" s="451">
        <f>IF(I6&gt;C31,0,C24*C6)</f>
        <v>112500000</v>
      </c>
      <c r="J48" s="452">
        <f t="shared" ref="J48:AL48" si="35">IF(J6&gt;$C$31,0,I51)</f>
        <v>109228599.64372271</v>
      </c>
      <c r="K48" s="452">
        <f t="shared" si="35"/>
        <v>105781525.08831334</v>
      </c>
      <c r="L48" s="452">
        <f t="shared" si="35"/>
        <v>102149342.62927848</v>
      </c>
      <c r="M48" s="452">
        <f t="shared" si="35"/>
        <v>98322111.97219345</v>
      </c>
      <c r="N48" s="452">
        <f t="shared" si="35"/>
        <v>94289359.028822958</v>
      </c>
      <c r="O48" s="452">
        <f t="shared" si="35"/>
        <v>90040047.252393469</v>
      </c>
      <c r="P48" s="452">
        <f t="shared" si="35"/>
        <v>85562547.433569714</v>
      </c>
      <c r="Q48" s="452">
        <f t="shared" si="35"/>
        <v>80844605.874475121</v>
      </c>
      <c r="R48" s="452">
        <f t="shared" si="35"/>
        <v>75873310.853657156</v>
      </c>
      <c r="S48" s="452">
        <f t="shared" si="35"/>
        <v>70635057.290221259</v>
      </c>
      <c r="T48" s="452">
        <f t="shared" si="35"/>
        <v>65115509.510428853</v>
      </c>
      <c r="U48" s="452">
        <f t="shared" si="35"/>
        <v>59299562.014861599</v>
      </c>
      <c r="V48" s="452">
        <f t="shared" si="35"/>
        <v>53171298.138782382</v>
      </c>
      <c r="W48" s="452">
        <f t="shared" si="35"/>
        <v>46713946.492557712</v>
      </c>
      <c r="X48" s="452">
        <f t="shared" si="35"/>
        <v>39909835.062930778</v>
      </c>
      <c r="Y48" s="452">
        <f t="shared" si="35"/>
        <v>32740342.849532876</v>
      </c>
      <c r="Z48" s="452">
        <f t="shared" si="35"/>
        <v>25185848.904275507</v>
      </c>
      <c r="AA48" s="452">
        <f t="shared" si="35"/>
        <v>17225678.634157814</v>
      </c>
      <c r="AB48" s="452">
        <f t="shared" si="35"/>
        <v>8838047.2205348033</v>
      </c>
      <c r="AC48" s="452">
        <f t="shared" si="35"/>
        <v>0</v>
      </c>
      <c r="AD48" s="452">
        <f t="shared" si="35"/>
        <v>0</v>
      </c>
      <c r="AE48" s="452">
        <f t="shared" si="35"/>
        <v>0</v>
      </c>
      <c r="AF48" s="452">
        <f t="shared" si="35"/>
        <v>0</v>
      </c>
      <c r="AG48" s="452">
        <f t="shared" si="35"/>
        <v>0</v>
      </c>
      <c r="AH48" s="452">
        <f t="shared" si="35"/>
        <v>0</v>
      </c>
      <c r="AI48" s="452">
        <f t="shared" si="35"/>
        <v>0</v>
      </c>
      <c r="AJ48" s="452">
        <f t="shared" si="35"/>
        <v>0</v>
      </c>
      <c r="AK48" s="452">
        <f t="shared" si="35"/>
        <v>0</v>
      </c>
      <c r="AL48" s="512">
        <f t="shared" si="35"/>
        <v>0</v>
      </c>
      <c r="AM48" s="468"/>
      <c r="AN48" s="467"/>
      <c r="AS48" s="597">
        <f>(1-AS44)*(AS45+AS46)</f>
        <v>0.10367499999999999</v>
      </c>
    </row>
    <row r="49" spans="1:40" ht="18.600000000000001" thickBot="1">
      <c r="A49" s="585" t="s">
        <v>104</v>
      </c>
      <c r="B49" s="586"/>
      <c r="C49" s="588">
        <f ca="1">SUM(I39:OFFSET($H$39,0,$C$31))-($C$6*C25)</f>
        <v>-20132116.840291128</v>
      </c>
      <c r="E49" s="467"/>
      <c r="F49" s="468"/>
      <c r="G49" s="550" t="s">
        <v>32</v>
      </c>
      <c r="H49" s="529"/>
      <c r="I49" s="534">
        <f t="shared" ref="I49:AL49" si="36">IF(I6&gt;$C$31,0,-I48*$C$26)</f>
        <v>-6041250</v>
      </c>
      <c r="J49" s="534">
        <f t="shared" si="36"/>
        <v>-5865575.8008679096</v>
      </c>
      <c r="K49" s="534">
        <f t="shared" si="36"/>
        <v>-5680467.8972424259</v>
      </c>
      <c r="L49" s="534">
        <f t="shared" si="36"/>
        <v>-5485419.6991922539</v>
      </c>
      <c r="M49" s="534">
        <f t="shared" si="36"/>
        <v>-5279897.4129067883</v>
      </c>
      <c r="N49" s="534">
        <f t="shared" si="36"/>
        <v>-5063338.5798477931</v>
      </c>
      <c r="O49" s="534">
        <f t="shared" si="36"/>
        <v>-4835150.5374535294</v>
      </c>
      <c r="P49" s="534">
        <f t="shared" si="36"/>
        <v>-4594708.7971826931</v>
      </c>
      <c r="Q49" s="534">
        <f t="shared" si="36"/>
        <v>-4341355.3354593143</v>
      </c>
      <c r="R49" s="534">
        <f t="shared" si="36"/>
        <v>-4074396.7928413893</v>
      </c>
      <c r="S49" s="534">
        <f t="shared" si="36"/>
        <v>-3793102.5764848813</v>
      </c>
      <c r="T49" s="534">
        <f t="shared" si="36"/>
        <v>-3496702.8607100295</v>
      </c>
      <c r="U49" s="534">
        <f t="shared" si="36"/>
        <v>-3184386.4801980676</v>
      </c>
      <c r="V49" s="534">
        <f t="shared" si="36"/>
        <v>-2855298.7100526136</v>
      </c>
      <c r="W49" s="534">
        <f t="shared" si="36"/>
        <v>-2508538.9266503491</v>
      </c>
      <c r="X49" s="534">
        <f t="shared" si="36"/>
        <v>-2143158.1428793827</v>
      </c>
      <c r="Y49" s="534">
        <f t="shared" si="36"/>
        <v>-1758156.4110199155</v>
      </c>
      <c r="Z49" s="534">
        <f t="shared" si="36"/>
        <v>-1352480.0861595946</v>
      </c>
      <c r="AA49" s="534">
        <f t="shared" si="36"/>
        <v>-925018.94265427452</v>
      </c>
      <c r="AB49" s="534">
        <f t="shared" si="36"/>
        <v>-474603.13574271894</v>
      </c>
      <c r="AC49" s="534">
        <f t="shared" si="36"/>
        <v>0</v>
      </c>
      <c r="AD49" s="534">
        <f t="shared" si="36"/>
        <v>0</v>
      </c>
      <c r="AE49" s="534">
        <f t="shared" si="36"/>
        <v>0</v>
      </c>
      <c r="AF49" s="534">
        <f t="shared" si="36"/>
        <v>0</v>
      </c>
      <c r="AG49" s="534">
        <f t="shared" si="36"/>
        <v>0</v>
      </c>
      <c r="AH49" s="534">
        <f t="shared" si="36"/>
        <v>0</v>
      </c>
      <c r="AI49" s="534">
        <f t="shared" si="36"/>
        <v>0</v>
      </c>
      <c r="AJ49" s="534">
        <f t="shared" si="36"/>
        <v>0</v>
      </c>
      <c r="AK49" s="534">
        <f t="shared" si="36"/>
        <v>0</v>
      </c>
      <c r="AL49" s="465">
        <f t="shared" si="36"/>
        <v>0</v>
      </c>
      <c r="AM49" s="468"/>
      <c r="AN49" s="467"/>
    </row>
    <row r="50" spans="1:40" ht="15.6">
      <c r="E50" s="467"/>
      <c r="F50" s="468"/>
      <c r="G50" s="550" t="s">
        <v>33</v>
      </c>
      <c r="H50" s="529"/>
      <c r="I50" s="534">
        <f t="shared" ref="I50:AL50" si="37">IF(I6&gt;$C$31,0,$C$43-I49)</f>
        <v>-3271400.3562772851</v>
      </c>
      <c r="J50" s="534">
        <f t="shared" si="37"/>
        <v>-3447074.5554093756</v>
      </c>
      <c r="K50" s="534">
        <f t="shared" si="37"/>
        <v>-3632182.4590348592</v>
      </c>
      <c r="L50" s="534">
        <f t="shared" si="37"/>
        <v>-3827230.6570850313</v>
      </c>
      <c r="M50" s="534">
        <f t="shared" si="37"/>
        <v>-4032752.9433704969</v>
      </c>
      <c r="N50" s="534">
        <f t="shared" si="37"/>
        <v>-4249311.776429492</v>
      </c>
      <c r="O50" s="534">
        <f t="shared" si="37"/>
        <v>-4477499.8188237557</v>
      </c>
      <c r="P50" s="534">
        <f t="shared" si="37"/>
        <v>-4717941.559094592</v>
      </c>
      <c r="Q50" s="534">
        <f t="shared" si="37"/>
        <v>-4971295.0208179709</v>
      </c>
      <c r="R50" s="534">
        <f t="shared" si="37"/>
        <v>-5238253.5634358954</v>
      </c>
      <c r="S50" s="534">
        <f t="shared" si="37"/>
        <v>-5519547.7797924038</v>
      </c>
      <c r="T50" s="534">
        <f t="shared" si="37"/>
        <v>-5815947.4955672557</v>
      </c>
      <c r="U50" s="534">
        <f t="shared" si="37"/>
        <v>-6128263.8760792175</v>
      </c>
      <c r="V50" s="534">
        <f t="shared" si="37"/>
        <v>-6457351.646224672</v>
      </c>
      <c r="W50" s="534">
        <f t="shared" si="37"/>
        <v>-6804111.4296269361</v>
      </c>
      <c r="X50" s="534">
        <f t="shared" si="37"/>
        <v>-7169492.2133979024</v>
      </c>
      <c r="Y50" s="534">
        <f t="shared" si="37"/>
        <v>-7554493.9452573694</v>
      </c>
      <c r="Z50" s="534">
        <f t="shared" si="37"/>
        <v>-7960170.2701176908</v>
      </c>
      <c r="AA50" s="534">
        <f t="shared" si="37"/>
        <v>-8387631.4136230107</v>
      </c>
      <c r="AB50" s="534">
        <f t="shared" si="37"/>
        <v>-8838047.2205345668</v>
      </c>
      <c r="AC50" s="534">
        <f t="shared" si="37"/>
        <v>0</v>
      </c>
      <c r="AD50" s="534">
        <f t="shared" si="37"/>
        <v>0</v>
      </c>
      <c r="AE50" s="534">
        <f t="shared" si="37"/>
        <v>0</v>
      </c>
      <c r="AF50" s="534">
        <f t="shared" si="37"/>
        <v>0</v>
      </c>
      <c r="AG50" s="534">
        <f t="shared" si="37"/>
        <v>0</v>
      </c>
      <c r="AH50" s="534">
        <f t="shared" si="37"/>
        <v>0</v>
      </c>
      <c r="AI50" s="534">
        <f t="shared" si="37"/>
        <v>0</v>
      </c>
      <c r="AJ50" s="534">
        <f t="shared" si="37"/>
        <v>0</v>
      </c>
      <c r="AK50" s="534">
        <f t="shared" si="37"/>
        <v>0</v>
      </c>
      <c r="AL50" s="465">
        <f t="shared" si="37"/>
        <v>0</v>
      </c>
      <c r="AM50" s="468"/>
      <c r="AN50" s="467"/>
    </row>
    <row r="51" spans="1:40" ht="16.2" thickBot="1">
      <c r="E51" s="467"/>
      <c r="F51" s="468"/>
      <c r="G51" s="556" t="s">
        <v>34</v>
      </c>
      <c r="H51" s="524"/>
      <c r="I51" s="435">
        <f>I48+I50</f>
        <v>109228599.64372271</v>
      </c>
      <c r="J51" s="436">
        <f>J48+J50</f>
        <v>105781525.08831334</v>
      </c>
      <c r="K51" s="436">
        <f t="shared" ref="K51:R51" si="38">K48+K50</f>
        <v>102149342.62927848</v>
      </c>
      <c r="L51" s="436">
        <f t="shared" si="38"/>
        <v>98322111.97219345</v>
      </c>
      <c r="M51" s="436">
        <f t="shared" si="38"/>
        <v>94289359.028822958</v>
      </c>
      <c r="N51" s="436">
        <f t="shared" si="38"/>
        <v>90040047.252393469</v>
      </c>
      <c r="O51" s="436">
        <f t="shared" si="38"/>
        <v>85562547.433569714</v>
      </c>
      <c r="P51" s="436">
        <f t="shared" si="38"/>
        <v>80844605.874475121</v>
      </c>
      <c r="Q51" s="436">
        <f t="shared" si="38"/>
        <v>75873310.853657156</v>
      </c>
      <c r="R51" s="436">
        <f t="shared" si="38"/>
        <v>70635057.290221259</v>
      </c>
      <c r="S51" s="436">
        <f t="shared" ref="S51:Y51" si="39">S48+S50</f>
        <v>65115509.510428853</v>
      </c>
      <c r="T51" s="436">
        <f t="shared" si="39"/>
        <v>59299562.014861599</v>
      </c>
      <c r="U51" s="436">
        <f t="shared" si="39"/>
        <v>53171298.138782382</v>
      </c>
      <c r="V51" s="436">
        <f t="shared" si="39"/>
        <v>46713946.492557712</v>
      </c>
      <c r="W51" s="436">
        <f t="shared" si="39"/>
        <v>39909835.062930778</v>
      </c>
      <c r="X51" s="436">
        <f t="shared" si="39"/>
        <v>32740342.849532876</v>
      </c>
      <c r="Y51" s="436">
        <f t="shared" si="39"/>
        <v>25185848.904275507</v>
      </c>
      <c r="Z51" s="436">
        <f t="shared" ref="Z51:AG51" si="40">Z48+Z50</f>
        <v>17225678.634157814</v>
      </c>
      <c r="AA51" s="436">
        <f t="shared" si="40"/>
        <v>8838047.2205348033</v>
      </c>
      <c r="AB51" s="436">
        <f t="shared" si="40"/>
        <v>2.3655593395233154E-7</v>
      </c>
      <c r="AC51" s="436">
        <f t="shared" si="40"/>
        <v>0</v>
      </c>
      <c r="AD51" s="436">
        <f t="shared" si="40"/>
        <v>0</v>
      </c>
      <c r="AE51" s="436">
        <f t="shared" si="40"/>
        <v>0</v>
      </c>
      <c r="AF51" s="436">
        <f t="shared" si="40"/>
        <v>0</v>
      </c>
      <c r="AG51" s="436">
        <f t="shared" si="40"/>
        <v>0</v>
      </c>
      <c r="AH51" s="436">
        <f>AH48+AH50</f>
        <v>0</v>
      </c>
      <c r="AI51" s="436">
        <f>AI48+AI50</f>
        <v>0</v>
      </c>
      <c r="AJ51" s="436">
        <f>AJ48+AJ50</f>
        <v>0</v>
      </c>
      <c r="AK51" s="436">
        <f>AK48+AK50</f>
        <v>0</v>
      </c>
      <c r="AL51" s="511">
        <f>AL48+AL50</f>
        <v>0</v>
      </c>
      <c r="AM51" s="468"/>
      <c r="AN51" s="467"/>
    </row>
    <row r="52" spans="1:40" ht="9.75" customHeight="1" thickTop="1" thickBot="1">
      <c r="E52" s="467"/>
      <c r="F52" s="468"/>
      <c r="G52" s="448"/>
      <c r="H52" s="449"/>
      <c r="I52" s="546"/>
      <c r="J52" s="449"/>
      <c r="K52" s="449"/>
      <c r="L52" s="449"/>
      <c r="M52" s="449"/>
      <c r="N52" s="449"/>
      <c r="O52" s="449"/>
      <c r="P52" s="449"/>
      <c r="Q52" s="449"/>
      <c r="R52" s="449"/>
      <c r="S52" s="491"/>
      <c r="T52" s="449"/>
      <c r="U52" s="449"/>
      <c r="V52" s="449"/>
      <c r="W52" s="449"/>
      <c r="X52" s="449"/>
      <c r="Y52" s="449"/>
      <c r="Z52" s="449"/>
      <c r="AA52" s="449"/>
      <c r="AB52" s="449"/>
      <c r="AC52" s="449"/>
      <c r="AD52" s="449"/>
      <c r="AE52" s="449"/>
      <c r="AF52" s="449"/>
      <c r="AG52" s="449"/>
      <c r="AH52" s="449"/>
      <c r="AI52" s="449"/>
      <c r="AJ52" s="449"/>
      <c r="AK52" s="449"/>
      <c r="AL52" s="450"/>
      <c r="AM52" s="468"/>
      <c r="AN52" s="467"/>
    </row>
    <row r="53" spans="1:40" ht="5.25" customHeight="1">
      <c r="B53" s="486" t="s">
        <v>77</v>
      </c>
      <c r="E53" s="467"/>
      <c r="F53" s="468"/>
      <c r="G53" s="468"/>
      <c r="H53" s="468"/>
      <c r="I53" s="468"/>
      <c r="J53" s="468"/>
      <c r="K53" s="468"/>
      <c r="L53" s="468"/>
      <c r="M53" s="468"/>
      <c r="N53" s="468"/>
      <c r="O53" s="468"/>
      <c r="P53" s="468"/>
      <c r="Q53" s="468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8"/>
      <c r="AF53" s="468"/>
      <c r="AG53" s="468"/>
      <c r="AH53" s="468"/>
      <c r="AI53" s="468"/>
      <c r="AJ53" s="468"/>
      <c r="AK53" s="468"/>
      <c r="AL53" s="468"/>
      <c r="AM53" s="468"/>
      <c r="AN53" s="467"/>
    </row>
    <row r="54" spans="1:40" ht="15.6">
      <c r="B54" s="486"/>
      <c r="E54" s="467"/>
      <c r="F54" s="467"/>
      <c r="G54" s="467"/>
      <c r="H54" s="467"/>
      <c r="I54" s="467"/>
      <c r="J54" s="467"/>
      <c r="K54" s="467"/>
      <c r="L54" s="467"/>
      <c r="M54" s="467"/>
      <c r="N54" s="467"/>
      <c r="O54" s="467"/>
      <c r="P54" s="467"/>
      <c r="Q54" s="467"/>
      <c r="R54" s="467"/>
      <c r="S54" s="467"/>
      <c r="T54" s="467"/>
      <c r="U54" s="467"/>
      <c r="V54" s="467"/>
      <c r="W54" s="467"/>
      <c r="X54" s="467"/>
      <c r="Y54" s="467"/>
      <c r="Z54" s="467"/>
      <c r="AA54" s="467"/>
      <c r="AB54" s="467"/>
      <c r="AC54" s="467"/>
      <c r="AD54" s="467"/>
      <c r="AE54" s="467"/>
      <c r="AF54" s="467"/>
      <c r="AG54" s="467"/>
      <c r="AH54" s="467"/>
      <c r="AI54" s="467"/>
      <c r="AJ54" s="467"/>
      <c r="AK54" s="467"/>
      <c r="AL54" s="467"/>
      <c r="AM54" s="467"/>
      <c r="AN54" s="467"/>
    </row>
    <row r="56" spans="1:40">
      <c r="A56" s="600" t="s">
        <v>153</v>
      </c>
      <c r="B56" s="599"/>
      <c r="C56" s="601">
        <f ca="1">C49/C7/1000</f>
        <v>-201.32116840291127</v>
      </c>
    </row>
    <row r="58" spans="1:40">
      <c r="G58" s="520"/>
      <c r="H58" s="482"/>
      <c r="I58" s="477"/>
      <c r="S58" s="594"/>
    </row>
    <row r="59" spans="1:40">
      <c r="R59" s="594"/>
    </row>
    <row r="60" spans="1:40">
      <c r="I60" s="594"/>
      <c r="AI60" s="520"/>
      <c r="AJ60" s="520"/>
      <c r="AK60" s="520"/>
      <c r="AL60" s="520"/>
    </row>
    <row r="61" spans="1:40">
      <c r="I61" s="589"/>
      <c r="J61" s="594"/>
    </row>
    <row r="62" spans="1:40" ht="18">
      <c r="A62" s="510"/>
      <c r="I62" s="589"/>
    </row>
    <row r="63" spans="1:40" ht="18">
      <c r="A63" s="510"/>
      <c r="I63" s="570"/>
      <c r="J63" s="570"/>
      <c r="K63" s="570"/>
      <c r="L63" s="570"/>
      <c r="M63" s="570"/>
      <c r="N63" s="571"/>
      <c r="O63" s="571"/>
      <c r="P63" s="571"/>
      <c r="Q63" s="571"/>
      <c r="R63" s="571"/>
    </row>
    <row r="64" spans="1:40">
      <c r="O64" s="536"/>
      <c r="P64" s="536"/>
      <c r="Q64" s="536"/>
      <c r="R64" s="536"/>
    </row>
    <row r="65" spans="9:13">
      <c r="I65" s="573"/>
      <c r="J65" s="573"/>
      <c r="K65" s="573"/>
      <c r="L65" s="573"/>
      <c r="M65" s="573"/>
    </row>
  </sheetData>
  <mergeCells count="1">
    <mergeCell ref="A2:C2"/>
  </mergeCells>
  <conditionalFormatting sqref="A64:A65529 A55:A61 A46:A52 C20 A45:C45 B21:C44 A44 G42:AL46 G48:AL52 G55:AL65527 AM55:AM65526 F56:F65526 AN55:AN65525 A2:A3 D2:D3 B3:C3 G6:AL8 C17:C18 E56:E65525 B16:B20 E55:F55 B5:C15 G10:AL40 AO1:IV1048576 B46:C65529 D5:D65522">
    <cfRule type="cellIs" dxfId="16" priority="7" operator="lessThan">
      <formula>0</formula>
    </cfRule>
  </conditionalFormatting>
  <conditionalFormatting sqref="C29">
    <cfRule type="cellIs" dxfId="15" priority="6" operator="lessThan">
      <formula>0</formula>
    </cfRule>
  </conditionalFormatting>
  <conditionalFormatting sqref="C26:C27">
    <cfRule type="cellIs" dxfId="14" priority="5" operator="lessThan">
      <formula>0</formula>
    </cfRule>
  </conditionalFormatting>
  <conditionalFormatting sqref="G19">
    <cfRule type="cellIs" dxfId="13" priority="4" operator="lessThan">
      <formula>0</formula>
    </cfRule>
  </conditionalFormatting>
  <conditionalFormatting sqref="AQ44:AQ47">
    <cfRule type="cellIs" dxfId="12" priority="3" operator="lessThan">
      <formula>0</formula>
    </cfRule>
  </conditionalFormatting>
  <conditionalFormatting sqref="AQ44:AS48">
    <cfRule type="cellIs" dxfId="11" priority="2" operator="lessThan">
      <formula>0</formula>
    </cfRule>
  </conditionalFormatting>
  <conditionalFormatting sqref="A56:C56">
    <cfRule type="cellIs" dxfId="10" priority="1" operator="lessThan">
      <formula>0</formula>
    </cfRule>
  </conditionalFormatting>
  <dataValidations count="8">
    <dataValidation type="list" allowBlank="1" showInputMessage="1" showErrorMessage="1" sqref="C21">
      <formula1>"-10, -9, -8, -7, -6, -5, -4, -3, -2, -1, 0, 1, 2, 3, 4, 5, 6, 7, 8, 9, 10"</formula1>
    </dataValidation>
    <dataValidation type="list" allowBlank="1" showInputMessage="1" showErrorMessage="1" sqref="C31">
      <formula1>"1, 2, 3, 4, 5, 6, 7, 8, 9, 10, 11, 12, 13, 14, 15,16,17,18,19,20,21,22,23,24,25,26,27,28,29,30"</formula1>
    </dataValidation>
    <dataValidation type="list" allowBlank="1" showInputMessage="1" showErrorMessage="1" sqref="C32">
      <formula1>$AP$5:$AR$5</formula1>
    </dataValidation>
    <dataValidation type="list" allowBlank="1" showInputMessage="1" showErrorMessage="1" sqref="C33">
      <formula1>INDIRECT($C$32)</formula1>
    </dataValidation>
    <dataValidation type="list" allowBlank="1" showInputMessage="1" showErrorMessage="1" sqref="C44 C22">
      <formula1>"YES, NO"</formula1>
    </dataValidation>
    <dataValidation type="list" allowBlank="1" showInputMessage="1" showErrorMessage="1" sqref="M61">
      <formula1>$O$61:$O$63</formula1>
    </dataValidation>
    <dataValidation type="list" allowBlank="1" showInputMessage="1" showErrorMessage="1" sqref="D24">
      <formula1>"1, 2, 3, 4, 5"</formula1>
    </dataValidation>
    <dataValidation type="list" allowBlank="1" showInputMessage="1" showErrorMessage="1" sqref="C13">
      <formula1>"0,15,25"</formula1>
    </dataValidation>
  </dataValidations>
  <pageMargins left="0.7" right="0.7" top="0.75" bottom="0.75" header="0.3" footer="0.3"/>
  <pageSetup orientation="portrait" r:id="rId1"/>
  <headerFooter>
    <oddFooter>&amp;RPrepared by Julia Popova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S62"/>
  <sheetViews>
    <sheetView zoomScale="70" zoomScaleNormal="70" workbookViewId="0">
      <pane xSplit="7" ySplit="5" topLeftCell="H6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4.4"/>
  <cols>
    <col min="1" max="1" width="38.44140625" style="243" customWidth="1"/>
    <col min="2" max="2" width="12.44140625" style="243" bestFit="1" customWidth="1"/>
    <col min="3" max="3" width="20" style="243" bestFit="1" customWidth="1"/>
    <col min="4" max="4" width="2.6640625" style="253" customWidth="1"/>
    <col min="5" max="5" width="3" style="243" customWidth="1"/>
    <col min="6" max="6" width="1.5546875" style="243" customWidth="1"/>
    <col min="7" max="7" width="51" style="243" bestFit="1" customWidth="1"/>
    <col min="8" max="8" width="11.109375" style="243" bestFit="1" customWidth="1"/>
    <col min="9" max="9" width="19.109375" style="243" bestFit="1" customWidth="1"/>
    <col min="10" max="10" width="17.6640625" style="243" bestFit="1" customWidth="1"/>
    <col min="11" max="12" width="17.33203125" style="243" bestFit="1" customWidth="1"/>
    <col min="13" max="13" width="16.6640625" style="243" bestFit="1" customWidth="1"/>
    <col min="14" max="16" width="17.109375" style="243" bestFit="1" customWidth="1"/>
    <col min="17" max="19" width="16.6640625" style="243" bestFit="1" customWidth="1"/>
    <col min="20" max="21" width="17.109375" style="243" bestFit="1" customWidth="1"/>
    <col min="22" max="23" width="16.6640625" style="243" bestFit="1" customWidth="1"/>
    <col min="24" max="25" width="17.109375" style="243" bestFit="1" customWidth="1"/>
    <col min="26" max="26" width="16.6640625" style="243" bestFit="1" customWidth="1"/>
    <col min="27" max="27" width="17.44140625" style="243" bestFit="1" customWidth="1"/>
    <col min="28" max="28" width="16.6640625" style="243" bestFit="1" customWidth="1"/>
    <col min="29" max="36" width="8.88671875" style="243" bestFit="1" customWidth="1"/>
    <col min="37" max="37" width="8.88671875" style="243" customWidth="1"/>
    <col min="38" max="38" width="8.88671875" style="243" bestFit="1" customWidth="1"/>
    <col min="39" max="40" width="1.44140625" style="243" customWidth="1"/>
    <col min="41" max="41" width="9.109375" style="243"/>
    <col min="42" max="42" width="8.6640625" style="243" bestFit="1" customWidth="1"/>
    <col min="43" max="43" width="14.88671875" style="243" bestFit="1" customWidth="1"/>
    <col min="44" max="16384" width="9.109375" style="243"/>
  </cols>
  <sheetData>
    <row r="1" spans="1:44" ht="23.4">
      <c r="A1" s="574" t="s">
        <v>164</v>
      </c>
    </row>
    <row r="2" spans="1:44" ht="21">
      <c r="A2" s="602" t="s">
        <v>156</v>
      </c>
      <c r="B2" s="603"/>
      <c r="C2" s="603"/>
    </row>
    <row r="3" spans="1:44" ht="15.6">
      <c r="A3" s="291"/>
      <c r="B3" s="291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09"/>
    </row>
    <row r="4" spans="1:44" ht="5.25" customHeight="1">
      <c r="E4" s="309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0"/>
      <c r="AI4" s="310"/>
      <c r="AJ4" s="310"/>
      <c r="AK4" s="310"/>
      <c r="AL4" s="310"/>
      <c r="AM4" s="310"/>
      <c r="AN4" s="309"/>
    </row>
    <row r="5" spans="1:44" ht="16.2" thickBot="1">
      <c r="A5" s="311" t="s">
        <v>0</v>
      </c>
      <c r="B5" s="244"/>
      <c r="E5" s="309"/>
      <c r="F5" s="310"/>
      <c r="G5" s="313" t="s">
        <v>64</v>
      </c>
      <c r="H5" s="314">
        <v>42491</v>
      </c>
      <c r="I5" s="315">
        <v>42856</v>
      </c>
      <c r="J5" s="315">
        <v>43221</v>
      </c>
      <c r="K5" s="315">
        <v>43586</v>
      </c>
      <c r="L5" s="315">
        <v>43952</v>
      </c>
      <c r="M5" s="315">
        <v>44317</v>
      </c>
      <c r="N5" s="315">
        <v>44682</v>
      </c>
      <c r="O5" s="315">
        <v>45047</v>
      </c>
      <c r="P5" s="315">
        <v>45413</v>
      </c>
      <c r="Q5" s="315">
        <v>45778</v>
      </c>
      <c r="R5" s="315">
        <v>46143</v>
      </c>
      <c r="S5" s="315">
        <v>46508</v>
      </c>
      <c r="T5" s="315">
        <v>46874</v>
      </c>
      <c r="U5" s="315">
        <v>47239</v>
      </c>
      <c r="V5" s="315">
        <v>47604</v>
      </c>
      <c r="W5" s="315">
        <v>47969</v>
      </c>
      <c r="X5" s="315">
        <v>48335</v>
      </c>
      <c r="Y5" s="315">
        <v>48700</v>
      </c>
      <c r="Z5" s="315">
        <v>49065</v>
      </c>
      <c r="AA5" s="315">
        <v>49430</v>
      </c>
      <c r="AB5" s="315">
        <v>49796</v>
      </c>
      <c r="AC5" s="315">
        <v>50161</v>
      </c>
      <c r="AD5" s="315">
        <v>50526</v>
      </c>
      <c r="AE5" s="315">
        <v>50891</v>
      </c>
      <c r="AF5" s="315">
        <v>51257</v>
      </c>
      <c r="AG5" s="315">
        <v>51622</v>
      </c>
      <c r="AH5" s="315">
        <v>51987</v>
      </c>
      <c r="AI5" s="315">
        <v>52352</v>
      </c>
      <c r="AJ5" s="315">
        <v>52718</v>
      </c>
      <c r="AK5" s="315">
        <v>53083</v>
      </c>
      <c r="AL5" s="315">
        <v>53448</v>
      </c>
      <c r="AM5" s="310"/>
      <c r="AN5" s="309"/>
      <c r="AP5" s="261" t="s">
        <v>45</v>
      </c>
      <c r="AQ5" s="261" t="s">
        <v>46</v>
      </c>
      <c r="AR5" s="261" t="s">
        <v>94</v>
      </c>
    </row>
    <row r="6" spans="1:44" ht="15.6">
      <c r="A6" s="316" t="s">
        <v>71</v>
      </c>
      <c r="B6" s="320" t="s">
        <v>74</v>
      </c>
      <c r="C6" s="297">
        <f>3000*1.5*C7*1000</f>
        <v>450000000</v>
      </c>
      <c r="D6" s="255"/>
      <c r="E6" s="309"/>
      <c r="F6" s="310"/>
      <c r="G6" s="391" t="s">
        <v>16</v>
      </c>
      <c r="H6" s="392"/>
      <c r="I6" s="393">
        <v>1</v>
      </c>
      <c r="J6" s="393">
        <v>2</v>
      </c>
      <c r="K6" s="393">
        <v>3</v>
      </c>
      <c r="L6" s="393">
        <v>4</v>
      </c>
      <c r="M6" s="393">
        <v>5</v>
      </c>
      <c r="N6" s="393">
        <v>6</v>
      </c>
      <c r="O6" s="393">
        <v>7</v>
      </c>
      <c r="P6" s="393">
        <v>8</v>
      </c>
      <c r="Q6" s="393">
        <v>9</v>
      </c>
      <c r="R6" s="393">
        <v>10</v>
      </c>
      <c r="S6" s="393">
        <v>11</v>
      </c>
      <c r="T6" s="393">
        <v>12</v>
      </c>
      <c r="U6" s="393">
        <v>13</v>
      </c>
      <c r="V6" s="393">
        <v>14</v>
      </c>
      <c r="W6" s="393">
        <v>15</v>
      </c>
      <c r="X6" s="393">
        <v>16</v>
      </c>
      <c r="Y6" s="393">
        <v>17</v>
      </c>
      <c r="Z6" s="393">
        <v>18</v>
      </c>
      <c r="AA6" s="393">
        <v>19</v>
      </c>
      <c r="AB6" s="393">
        <v>20</v>
      </c>
      <c r="AC6" s="393">
        <v>21</v>
      </c>
      <c r="AD6" s="393">
        <v>22</v>
      </c>
      <c r="AE6" s="393">
        <v>23</v>
      </c>
      <c r="AF6" s="393">
        <v>24</v>
      </c>
      <c r="AG6" s="393">
        <v>25</v>
      </c>
      <c r="AH6" s="393">
        <v>26</v>
      </c>
      <c r="AI6" s="393">
        <v>27</v>
      </c>
      <c r="AJ6" s="393">
        <v>28</v>
      </c>
      <c r="AK6" s="393">
        <v>29</v>
      </c>
      <c r="AL6" s="394">
        <v>30</v>
      </c>
      <c r="AM6" s="310"/>
      <c r="AN6" s="309"/>
      <c r="AP6" s="261">
        <v>3</v>
      </c>
      <c r="AQ6" s="261">
        <v>1</v>
      </c>
      <c r="AR6" s="261">
        <v>5</v>
      </c>
    </row>
    <row r="7" spans="1:44" ht="15.6">
      <c r="A7" s="312" t="s">
        <v>63</v>
      </c>
      <c r="B7" s="320" t="s">
        <v>68</v>
      </c>
      <c r="C7" s="292">
        <v>100</v>
      </c>
      <c r="E7" s="309"/>
      <c r="F7" s="310"/>
      <c r="G7" s="382" t="s">
        <v>17</v>
      </c>
      <c r="H7" s="369"/>
      <c r="I7" s="379">
        <f>(1+$C$29)^(I6-1)</f>
        <v>1</v>
      </c>
      <c r="J7" s="379">
        <f t="shared" ref="J7:AL7" si="0">(1+$C$29)^(J6-1)</f>
        <v>1.0229999999999999</v>
      </c>
      <c r="K7" s="379">
        <f t="shared" si="0"/>
        <v>1.0465289999999998</v>
      </c>
      <c r="L7" s="379">
        <f t="shared" si="0"/>
        <v>1.0705991669999997</v>
      </c>
      <c r="M7" s="379">
        <f t="shared" si="0"/>
        <v>1.0952229478409996</v>
      </c>
      <c r="N7" s="379">
        <f t="shared" si="0"/>
        <v>1.1204130756413424</v>
      </c>
      <c r="O7" s="379">
        <f t="shared" si="0"/>
        <v>1.1461825763810933</v>
      </c>
      <c r="P7" s="379">
        <f t="shared" si="0"/>
        <v>1.1725447756378582</v>
      </c>
      <c r="Q7" s="379">
        <f t="shared" si="0"/>
        <v>1.1995133054775289</v>
      </c>
      <c r="R7" s="379">
        <f t="shared" si="0"/>
        <v>1.2271021115035119</v>
      </c>
      <c r="S7" s="379">
        <f t="shared" si="0"/>
        <v>1.2553254600680925</v>
      </c>
      <c r="T7" s="379">
        <f t="shared" si="0"/>
        <v>1.2841979456496586</v>
      </c>
      <c r="U7" s="379">
        <f t="shared" si="0"/>
        <v>1.3137344983996007</v>
      </c>
      <c r="V7" s="379">
        <f t="shared" si="0"/>
        <v>1.3439503918627913</v>
      </c>
      <c r="W7" s="379">
        <f t="shared" si="0"/>
        <v>1.3748612508756355</v>
      </c>
      <c r="X7" s="379">
        <f t="shared" si="0"/>
        <v>1.4064830596457747</v>
      </c>
      <c r="Y7" s="379">
        <f t="shared" si="0"/>
        <v>1.4388321700176274</v>
      </c>
      <c r="Z7" s="379">
        <f t="shared" si="0"/>
        <v>1.4719253099280327</v>
      </c>
      <c r="AA7" s="379">
        <f t="shared" si="0"/>
        <v>1.5057795920563775</v>
      </c>
      <c r="AB7" s="379">
        <f t="shared" si="0"/>
        <v>1.5404125226736738</v>
      </c>
      <c r="AC7" s="379">
        <f t="shared" si="0"/>
        <v>1.5758420106951683</v>
      </c>
      <c r="AD7" s="379">
        <f t="shared" si="0"/>
        <v>1.6120863769411569</v>
      </c>
      <c r="AE7" s="379">
        <f t="shared" si="0"/>
        <v>1.6491643636108035</v>
      </c>
      <c r="AF7" s="379">
        <f t="shared" si="0"/>
        <v>1.6870951439738515</v>
      </c>
      <c r="AG7" s="379">
        <f t="shared" si="0"/>
        <v>1.7258983322852501</v>
      </c>
      <c r="AH7" s="379">
        <f t="shared" si="0"/>
        <v>1.7655939939278107</v>
      </c>
      <c r="AI7" s="379">
        <f t="shared" si="0"/>
        <v>1.8062026557881501</v>
      </c>
      <c r="AJ7" s="379">
        <f t="shared" si="0"/>
        <v>1.8477453168712774</v>
      </c>
      <c r="AK7" s="379">
        <f t="shared" si="0"/>
        <v>1.8902434591593167</v>
      </c>
      <c r="AL7" s="290">
        <f t="shared" si="0"/>
        <v>1.9337190587199808</v>
      </c>
      <c r="AM7" s="310"/>
      <c r="AN7" s="309"/>
      <c r="AP7" s="261">
        <v>5</v>
      </c>
      <c r="AQ7" s="261">
        <v>2</v>
      </c>
      <c r="AR7" s="261">
        <v>7</v>
      </c>
    </row>
    <row r="8" spans="1:44" ht="16.2" thickBot="1">
      <c r="A8" s="316" t="s">
        <v>66</v>
      </c>
      <c r="B8" s="320" t="s">
        <v>65</v>
      </c>
      <c r="C8" s="317">
        <v>0.25</v>
      </c>
      <c r="D8" s="251"/>
      <c r="E8" s="309"/>
      <c r="F8" s="310"/>
      <c r="G8" s="284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  <c r="AE8" s="247"/>
      <c r="AF8" s="247"/>
      <c r="AG8" s="247"/>
      <c r="AH8" s="247"/>
      <c r="AI8" s="247"/>
      <c r="AJ8" s="247"/>
      <c r="AK8" s="247"/>
      <c r="AL8" s="302"/>
      <c r="AM8" s="310"/>
      <c r="AN8" s="309"/>
      <c r="AP8" s="261">
        <v>7</v>
      </c>
      <c r="AQ8" s="261">
        <v>3</v>
      </c>
    </row>
    <row r="9" spans="1:44" ht="16.2" thickBot="1">
      <c r="A9" s="316" t="s">
        <v>67</v>
      </c>
      <c r="B9" s="320" t="s">
        <v>65</v>
      </c>
      <c r="C9" s="317">
        <v>0.2</v>
      </c>
      <c r="D9" s="251"/>
      <c r="E9" s="309"/>
      <c r="F9" s="310"/>
      <c r="G9" s="329" t="s">
        <v>18</v>
      </c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4"/>
      <c r="W9" s="334"/>
      <c r="X9" s="334"/>
      <c r="Y9" s="334"/>
      <c r="Z9" s="334"/>
      <c r="AA9" s="334"/>
      <c r="AB9" s="334"/>
      <c r="AC9" s="334"/>
      <c r="AD9" s="334"/>
      <c r="AE9" s="334"/>
      <c r="AF9" s="334"/>
      <c r="AG9" s="334"/>
      <c r="AH9" s="334"/>
      <c r="AI9" s="334"/>
      <c r="AJ9" s="334"/>
      <c r="AK9" s="334"/>
      <c r="AL9" s="335"/>
      <c r="AM9" s="310"/>
      <c r="AN9" s="309"/>
      <c r="AP9" s="261">
        <v>10</v>
      </c>
      <c r="AQ9" s="261">
        <v>4</v>
      </c>
    </row>
    <row r="10" spans="1:44" ht="15.6">
      <c r="A10" s="337" t="s">
        <v>3</v>
      </c>
      <c r="B10" s="350"/>
      <c r="C10" s="325"/>
      <c r="D10" s="251"/>
      <c r="E10" s="309"/>
      <c r="F10" s="310"/>
      <c r="G10" s="376" t="s">
        <v>3</v>
      </c>
      <c r="H10" s="277"/>
      <c r="I10" s="264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47"/>
      <c r="U10" s="247"/>
      <c r="V10" s="247"/>
      <c r="W10" s="247"/>
      <c r="X10" s="247"/>
      <c r="Y10" s="247"/>
      <c r="Z10" s="247"/>
      <c r="AA10" s="247"/>
      <c r="AB10" s="247"/>
      <c r="AC10" s="247"/>
      <c r="AD10" s="247"/>
      <c r="AE10" s="247"/>
      <c r="AF10" s="247"/>
      <c r="AG10" s="247"/>
      <c r="AH10" s="247"/>
      <c r="AI10" s="247"/>
      <c r="AJ10" s="247"/>
      <c r="AK10" s="247"/>
      <c r="AL10" s="302"/>
      <c r="AM10" s="310"/>
      <c r="AN10" s="309"/>
      <c r="AP10" s="261">
        <v>15</v>
      </c>
      <c r="AQ10" s="261">
        <v>5</v>
      </c>
    </row>
    <row r="11" spans="1:44" ht="15.6">
      <c r="A11" s="316" t="s">
        <v>69</v>
      </c>
      <c r="B11" s="351" t="s">
        <v>80</v>
      </c>
      <c r="C11" s="318">
        <v>70</v>
      </c>
      <c r="D11" s="251"/>
      <c r="E11" s="309"/>
      <c r="F11" s="310"/>
      <c r="G11" s="382" t="s">
        <v>19</v>
      </c>
      <c r="H11" s="369"/>
      <c r="I11" s="371">
        <f t="shared" ref="I11:AL11" si="1">IF(I6&gt;$C$31,0,($C$15+$C$7*$C$8*$AQ$39*IF($C$20&lt;&gt;0,MAX((($C$20+1-I6)/$C$20),0),0)*12*1000)*$C$7*$C$8*I7*(1+0.0025)^(I6-1))</f>
        <v>3129567.4999999995</v>
      </c>
      <c r="J11" s="371">
        <f t="shared" si="1"/>
        <v>3229843.6148549989</v>
      </c>
      <c r="K11" s="371">
        <f t="shared" si="1"/>
        <v>3333201.1542501105</v>
      </c>
      <c r="L11" s="371">
        <f t="shared" si="1"/>
        <v>3439732.1262657726</v>
      </c>
      <c r="M11" s="371">
        <f t="shared" si="1"/>
        <v>3549531.2292326828</v>
      </c>
      <c r="N11" s="371">
        <f t="shared" si="1"/>
        <v>3662695.9291455685</v>
      </c>
      <c r="O11" s="371">
        <f t="shared" si="1"/>
        <v>3756305.2803547052</v>
      </c>
      <c r="P11" s="371">
        <f t="shared" si="1"/>
        <v>3852307.0525573697</v>
      </c>
      <c r="Q11" s="371">
        <f t="shared" si="1"/>
        <v>3950762.3900531046</v>
      </c>
      <c r="R11" s="371">
        <f t="shared" si="1"/>
        <v>4051733.9998368868</v>
      </c>
      <c r="S11" s="371">
        <f t="shared" si="1"/>
        <v>4155286.1915377169</v>
      </c>
      <c r="T11" s="371">
        <f t="shared" si="1"/>
        <v>4261484.9183779415</v>
      </c>
      <c r="U11" s="371">
        <f t="shared" si="1"/>
        <v>4370397.8191793859</v>
      </c>
      <c r="V11" s="371">
        <f t="shared" si="1"/>
        <v>4482094.2614430627</v>
      </c>
      <c r="W11" s="371">
        <f t="shared" si="1"/>
        <v>4596645.3855298925</v>
      </c>
      <c r="X11" s="371">
        <f t="shared" si="1"/>
        <v>4714124.1499705706</v>
      </c>
      <c r="Y11" s="371">
        <f t="shared" si="1"/>
        <v>4834605.3779334445</v>
      </c>
      <c r="Z11" s="371">
        <f t="shared" si="1"/>
        <v>4958165.8048799764</v>
      </c>
      <c r="AA11" s="371">
        <f t="shared" si="1"/>
        <v>5084884.1274381969</v>
      </c>
      <c r="AB11" s="371">
        <f t="shared" si="1"/>
        <v>5214841.0535251964</v>
      </c>
      <c r="AC11" s="371">
        <f t="shared" si="1"/>
        <v>0</v>
      </c>
      <c r="AD11" s="371">
        <f t="shared" si="1"/>
        <v>0</v>
      </c>
      <c r="AE11" s="371">
        <f t="shared" si="1"/>
        <v>0</v>
      </c>
      <c r="AF11" s="371">
        <f t="shared" si="1"/>
        <v>0</v>
      </c>
      <c r="AG11" s="371">
        <f t="shared" si="1"/>
        <v>0</v>
      </c>
      <c r="AH11" s="371">
        <f t="shared" si="1"/>
        <v>0</v>
      </c>
      <c r="AI11" s="371">
        <f t="shared" si="1"/>
        <v>0</v>
      </c>
      <c r="AJ11" s="371">
        <f t="shared" si="1"/>
        <v>0</v>
      </c>
      <c r="AK11" s="371">
        <f t="shared" si="1"/>
        <v>0</v>
      </c>
      <c r="AL11" s="357">
        <f t="shared" si="1"/>
        <v>0</v>
      </c>
      <c r="AM11" s="310"/>
      <c r="AN11" s="309"/>
      <c r="AP11" s="261">
        <v>20</v>
      </c>
      <c r="AQ11" s="261">
        <v>6</v>
      </c>
    </row>
    <row r="12" spans="1:44" ht="15.6">
      <c r="A12" s="316" t="s">
        <v>134</v>
      </c>
      <c r="B12" s="396" t="s">
        <v>80</v>
      </c>
      <c r="C12" s="318">
        <v>25</v>
      </c>
      <c r="D12" s="251"/>
      <c r="E12" s="309"/>
      <c r="F12" s="310"/>
      <c r="G12" s="383" t="s">
        <v>2</v>
      </c>
      <c r="H12" s="368"/>
      <c r="I12" s="252">
        <f t="shared" ref="I12:AL12" si="2">MAX(0,IF(I$6&gt;$C$31,0,IF($C$21=0,$C$13,IF($C$21=1,$C$13*I7,$C$13*(I7^$C$21)))))</f>
        <v>12264000</v>
      </c>
      <c r="J12" s="252">
        <f t="shared" si="2"/>
        <v>12546071.999999998</v>
      </c>
      <c r="K12" s="252">
        <f t="shared" si="2"/>
        <v>12834631.655999998</v>
      </c>
      <c r="L12" s="252">
        <f t="shared" si="2"/>
        <v>13129828.184087995</v>
      </c>
      <c r="M12" s="252">
        <f t="shared" si="2"/>
        <v>13431814.232322019</v>
      </c>
      <c r="N12" s="252">
        <f t="shared" si="2"/>
        <v>13740745.959665423</v>
      </c>
      <c r="O12" s="252">
        <f t="shared" si="2"/>
        <v>14056783.116737729</v>
      </c>
      <c r="P12" s="252">
        <f t="shared" si="2"/>
        <v>14380089.128422692</v>
      </c>
      <c r="Q12" s="252">
        <f t="shared" si="2"/>
        <v>14710831.178376414</v>
      </c>
      <c r="R12" s="252">
        <f t="shared" si="2"/>
        <v>15049180.29547907</v>
      </c>
      <c r="S12" s="252">
        <f t="shared" si="2"/>
        <v>15395311.442275086</v>
      </c>
      <c r="T12" s="252">
        <f t="shared" si="2"/>
        <v>15749403.605447413</v>
      </c>
      <c r="U12" s="252">
        <f t="shared" si="2"/>
        <v>16111639.888372703</v>
      </c>
      <c r="V12" s="252">
        <f t="shared" si="2"/>
        <v>16482207.605805272</v>
      </c>
      <c r="W12" s="252">
        <f t="shared" si="2"/>
        <v>16861298.380738795</v>
      </c>
      <c r="X12" s="252">
        <f t="shared" si="2"/>
        <v>17249108.243495781</v>
      </c>
      <c r="Y12" s="252">
        <f t="shared" si="2"/>
        <v>17645837.733096182</v>
      </c>
      <c r="Z12" s="252">
        <f t="shared" si="2"/>
        <v>18051692.000957392</v>
      </c>
      <c r="AA12" s="252">
        <f t="shared" si="2"/>
        <v>18466880.916979413</v>
      </c>
      <c r="AB12" s="252">
        <f t="shared" si="2"/>
        <v>18891619.178069934</v>
      </c>
      <c r="AC12" s="252">
        <f t="shared" si="2"/>
        <v>0</v>
      </c>
      <c r="AD12" s="252">
        <f t="shared" si="2"/>
        <v>0</v>
      </c>
      <c r="AE12" s="252">
        <f t="shared" si="2"/>
        <v>0</v>
      </c>
      <c r="AF12" s="252">
        <f t="shared" si="2"/>
        <v>0</v>
      </c>
      <c r="AG12" s="252">
        <f t="shared" si="2"/>
        <v>0</v>
      </c>
      <c r="AH12" s="252">
        <f t="shared" si="2"/>
        <v>0</v>
      </c>
      <c r="AI12" s="252">
        <f t="shared" si="2"/>
        <v>0</v>
      </c>
      <c r="AJ12" s="252">
        <f t="shared" si="2"/>
        <v>0</v>
      </c>
      <c r="AK12" s="252">
        <f t="shared" si="2"/>
        <v>0</v>
      </c>
      <c r="AL12" s="307">
        <f t="shared" si="2"/>
        <v>0</v>
      </c>
      <c r="AM12" s="310"/>
      <c r="AN12" s="309"/>
      <c r="AP12" s="261"/>
      <c r="AQ12" s="261">
        <v>7</v>
      </c>
    </row>
    <row r="13" spans="1:44" ht="15.6">
      <c r="A13" s="312" t="s">
        <v>70</v>
      </c>
      <c r="B13" s="254" t="s">
        <v>89</v>
      </c>
      <c r="C13" s="294">
        <f>C11*C9*C7*8760</f>
        <v>12264000</v>
      </c>
      <c r="D13" s="251"/>
      <c r="E13" s="309"/>
      <c r="F13" s="310"/>
      <c r="G13" s="383" t="s">
        <v>132</v>
      </c>
      <c r="H13" s="368"/>
      <c r="I13" s="252">
        <f t="shared" ref="I13:AL13" si="3">MAX(0,IF(I$6&gt;$C$31,0,IF($C$21=0,$C$14,IF($C$21=1,$C$14*I7,$C$14*(I7^$C$21)))))</f>
        <v>4380000</v>
      </c>
      <c r="J13" s="252">
        <f t="shared" si="3"/>
        <v>4480740</v>
      </c>
      <c r="K13" s="252">
        <f t="shared" si="3"/>
        <v>4583797.0199999996</v>
      </c>
      <c r="L13" s="252">
        <f t="shared" si="3"/>
        <v>4689224.3514599986</v>
      </c>
      <c r="M13" s="252">
        <f t="shared" si="3"/>
        <v>4797076.5115435785</v>
      </c>
      <c r="N13" s="252">
        <f t="shared" si="3"/>
        <v>4907409.2713090796</v>
      </c>
      <c r="O13" s="252">
        <f t="shared" si="3"/>
        <v>5020279.6845491892</v>
      </c>
      <c r="P13" s="252">
        <f t="shared" si="3"/>
        <v>5135746.1172938189</v>
      </c>
      <c r="Q13" s="252">
        <f t="shared" si="3"/>
        <v>5253868.2779915761</v>
      </c>
      <c r="R13" s="252">
        <f t="shared" si="3"/>
        <v>5374707.2483853819</v>
      </c>
      <c r="S13" s="252">
        <f t="shared" si="3"/>
        <v>5498325.5150982449</v>
      </c>
      <c r="T13" s="252">
        <f t="shared" si="3"/>
        <v>5624787.0019455049</v>
      </c>
      <c r="U13" s="252">
        <f t="shared" si="3"/>
        <v>5754157.102990251</v>
      </c>
      <c r="V13" s="252">
        <f t="shared" si="3"/>
        <v>5886502.7163590258</v>
      </c>
      <c r="W13" s="252">
        <f t="shared" si="3"/>
        <v>6021892.2788352836</v>
      </c>
      <c r="X13" s="252">
        <f t="shared" si="3"/>
        <v>6160395.8012484936</v>
      </c>
      <c r="Y13" s="252">
        <f t="shared" si="3"/>
        <v>6302084.9046772085</v>
      </c>
      <c r="Z13" s="252">
        <f t="shared" si="3"/>
        <v>6447032.857484783</v>
      </c>
      <c r="AA13" s="252">
        <f t="shared" si="3"/>
        <v>6595314.6132069333</v>
      </c>
      <c r="AB13" s="252">
        <f t="shared" si="3"/>
        <v>6747006.8493106915</v>
      </c>
      <c r="AC13" s="252">
        <f t="shared" si="3"/>
        <v>0</v>
      </c>
      <c r="AD13" s="252">
        <f t="shared" si="3"/>
        <v>0</v>
      </c>
      <c r="AE13" s="252">
        <f t="shared" si="3"/>
        <v>0</v>
      </c>
      <c r="AF13" s="252">
        <f t="shared" si="3"/>
        <v>0</v>
      </c>
      <c r="AG13" s="252">
        <f t="shared" si="3"/>
        <v>0</v>
      </c>
      <c r="AH13" s="252">
        <f t="shared" si="3"/>
        <v>0</v>
      </c>
      <c r="AI13" s="252">
        <f t="shared" si="3"/>
        <v>0</v>
      </c>
      <c r="AJ13" s="252">
        <f t="shared" si="3"/>
        <v>0</v>
      </c>
      <c r="AK13" s="252">
        <f t="shared" si="3"/>
        <v>0</v>
      </c>
      <c r="AL13" s="307">
        <f t="shared" si="3"/>
        <v>0</v>
      </c>
      <c r="AM13" s="310"/>
      <c r="AN13" s="309"/>
      <c r="AP13" s="261"/>
      <c r="AQ13" s="261">
        <v>8</v>
      </c>
    </row>
    <row r="14" spans="1:44" ht="16.2" thickBot="1">
      <c r="A14" s="316" t="s">
        <v>132</v>
      </c>
      <c r="B14" s="254" t="s">
        <v>89</v>
      </c>
      <c r="C14" s="294">
        <f>C12*C9*C7*8760</f>
        <v>4380000</v>
      </c>
      <c r="D14" s="251"/>
      <c r="E14" s="309"/>
      <c r="F14" s="310"/>
      <c r="G14" s="279" t="s">
        <v>20</v>
      </c>
      <c r="H14" s="367"/>
      <c r="I14" s="269">
        <f>SUM(I11:I13)</f>
        <v>19773567.5</v>
      </c>
      <c r="J14" s="269">
        <f t="shared" ref="J14:AL14" si="4">SUM(J11:J13)</f>
        <v>20256655.614854999</v>
      </c>
      <c r="K14" s="269">
        <f t="shared" si="4"/>
        <v>20751629.830250107</v>
      </c>
      <c r="L14" s="269">
        <f t="shared" si="4"/>
        <v>21258784.661813766</v>
      </c>
      <c r="M14" s="269">
        <f t="shared" si="4"/>
        <v>21778421.973098282</v>
      </c>
      <c r="N14" s="269">
        <f t="shared" si="4"/>
        <v>22310851.16012007</v>
      </c>
      <c r="O14" s="269">
        <f t="shared" si="4"/>
        <v>22833368.081641626</v>
      </c>
      <c r="P14" s="269">
        <f t="shared" si="4"/>
        <v>23368142.298273884</v>
      </c>
      <c r="Q14" s="269">
        <f t="shared" si="4"/>
        <v>23915461.846421093</v>
      </c>
      <c r="R14" s="269">
        <f t="shared" si="4"/>
        <v>24475621.54370134</v>
      </c>
      <c r="S14" s="269">
        <f t="shared" si="4"/>
        <v>25048923.148911048</v>
      </c>
      <c r="T14" s="269">
        <f t="shared" si="4"/>
        <v>25635675.525770858</v>
      </c>
      <c r="U14" s="269">
        <f t="shared" si="4"/>
        <v>26236194.810542341</v>
      </c>
      <c r="V14" s="269">
        <f t="shared" si="4"/>
        <v>26850804.583607361</v>
      </c>
      <c r="W14" s="269">
        <f t="shared" si="4"/>
        <v>27479836.045103967</v>
      </c>
      <c r="X14" s="269">
        <f t="shared" si="4"/>
        <v>28123628.194714848</v>
      </c>
      <c r="Y14" s="269">
        <f t="shared" si="4"/>
        <v>28782528.015706833</v>
      </c>
      <c r="Z14" s="269">
        <f t="shared" si="4"/>
        <v>29456890.663322154</v>
      </c>
      <c r="AA14" s="269">
        <f t="shared" si="4"/>
        <v>30147079.657624546</v>
      </c>
      <c r="AB14" s="269">
        <f t="shared" si="4"/>
        <v>30853467.080905821</v>
      </c>
      <c r="AC14" s="269">
        <f t="shared" si="4"/>
        <v>0</v>
      </c>
      <c r="AD14" s="269">
        <f t="shared" si="4"/>
        <v>0</v>
      </c>
      <c r="AE14" s="269">
        <f t="shared" si="4"/>
        <v>0</v>
      </c>
      <c r="AF14" s="269">
        <f t="shared" si="4"/>
        <v>0</v>
      </c>
      <c r="AG14" s="269">
        <f t="shared" si="4"/>
        <v>0</v>
      </c>
      <c r="AH14" s="269">
        <f t="shared" si="4"/>
        <v>0</v>
      </c>
      <c r="AI14" s="269">
        <f t="shared" si="4"/>
        <v>0</v>
      </c>
      <c r="AJ14" s="269">
        <f t="shared" si="4"/>
        <v>0</v>
      </c>
      <c r="AK14" s="269">
        <f t="shared" si="4"/>
        <v>0</v>
      </c>
      <c r="AL14" s="345">
        <f t="shared" si="4"/>
        <v>0</v>
      </c>
      <c r="AM14" s="310"/>
      <c r="AN14" s="309"/>
      <c r="AP14" s="261"/>
      <c r="AQ14" s="261">
        <v>9</v>
      </c>
    </row>
    <row r="15" spans="1:44" ht="16.2" thickTop="1">
      <c r="A15" s="316" t="s">
        <v>47</v>
      </c>
      <c r="B15" s="254" t="s">
        <v>87</v>
      </c>
      <c r="C15" s="348">
        <f>'ICAP Price&amp;Impact'!O47</f>
        <v>129139.99999999999</v>
      </c>
      <c r="D15" s="256"/>
      <c r="E15" s="309"/>
      <c r="F15" s="310"/>
      <c r="G15" s="280" t="s">
        <v>4</v>
      </c>
      <c r="H15" s="275"/>
      <c r="I15" s="370"/>
      <c r="J15" s="247"/>
      <c r="K15" s="247"/>
      <c r="L15" s="247"/>
      <c r="M15" s="247"/>
      <c r="N15" s="247"/>
      <c r="O15" s="247"/>
      <c r="P15" s="247"/>
      <c r="Q15" s="247"/>
      <c r="R15" s="247"/>
      <c r="S15" s="323"/>
      <c r="T15" s="338"/>
      <c r="U15" s="323"/>
      <c r="V15" s="323"/>
      <c r="W15" s="323"/>
      <c r="X15" s="323"/>
      <c r="Y15" s="323"/>
      <c r="Z15" s="247"/>
      <c r="AA15" s="247"/>
      <c r="AB15" s="247"/>
      <c r="AC15" s="247"/>
      <c r="AD15" s="247"/>
      <c r="AE15" s="247"/>
      <c r="AF15" s="247"/>
      <c r="AG15" s="247"/>
      <c r="AH15" s="247"/>
      <c r="AI15" s="323"/>
      <c r="AJ15" s="338"/>
      <c r="AK15" s="323"/>
      <c r="AL15" s="300"/>
      <c r="AM15" s="310"/>
      <c r="AN15" s="309"/>
      <c r="AP15" s="261"/>
      <c r="AQ15" s="261">
        <v>10</v>
      </c>
    </row>
    <row r="16" spans="1:44" ht="15.6">
      <c r="A16" s="316" t="s">
        <v>101</v>
      </c>
      <c r="B16" s="249" t="s">
        <v>65</v>
      </c>
      <c r="C16" s="298">
        <v>1</v>
      </c>
      <c r="E16" s="309"/>
      <c r="F16" s="310"/>
      <c r="G16" s="382" t="s">
        <v>5</v>
      </c>
      <c r="H16" s="369"/>
      <c r="I16" s="371">
        <f>IF(I6&gt;$C$31,0,-$C$35)</f>
        <v>-4500000</v>
      </c>
      <c r="J16" s="363">
        <f t="shared" ref="J16:AL16" si="5">IF(J6&gt;$C$31,0,$I$16*J7)</f>
        <v>-4603500</v>
      </c>
      <c r="K16" s="363">
        <f t="shared" si="5"/>
        <v>-4709380.4999999991</v>
      </c>
      <c r="L16" s="363">
        <f t="shared" si="5"/>
        <v>-4817696.2514999984</v>
      </c>
      <c r="M16" s="363">
        <f t="shared" si="5"/>
        <v>-4928503.2652844982</v>
      </c>
      <c r="N16" s="363">
        <f t="shared" si="5"/>
        <v>-5041858.8403860405</v>
      </c>
      <c r="O16" s="363">
        <f t="shared" si="5"/>
        <v>-5157821.5937149199</v>
      </c>
      <c r="P16" s="363">
        <f t="shared" si="5"/>
        <v>-5276451.4903703621</v>
      </c>
      <c r="Q16" s="363">
        <f t="shared" si="5"/>
        <v>-5397809.8746488802</v>
      </c>
      <c r="R16" s="363">
        <f t="shared" si="5"/>
        <v>-5521959.5017658034</v>
      </c>
      <c r="S16" s="339">
        <f t="shared" si="5"/>
        <v>-5648964.5703064166</v>
      </c>
      <c r="T16" s="339">
        <f t="shared" si="5"/>
        <v>-5778890.7554234639</v>
      </c>
      <c r="U16" s="339">
        <f t="shared" si="5"/>
        <v>-5911805.2427982027</v>
      </c>
      <c r="V16" s="339">
        <f t="shared" si="5"/>
        <v>-6047776.7633825606</v>
      </c>
      <c r="W16" s="339">
        <f t="shared" si="5"/>
        <v>-6186875.6289403597</v>
      </c>
      <c r="X16" s="339">
        <f t="shared" si="5"/>
        <v>-6329173.768405986</v>
      </c>
      <c r="Y16" s="339">
        <f t="shared" si="5"/>
        <v>-6474744.7650793232</v>
      </c>
      <c r="Z16" s="339">
        <f t="shared" si="5"/>
        <v>-6623663.894676147</v>
      </c>
      <c r="AA16" s="339">
        <f t="shared" si="5"/>
        <v>-6776008.1642536987</v>
      </c>
      <c r="AB16" s="339">
        <f t="shared" si="5"/>
        <v>-6931856.3520315317</v>
      </c>
      <c r="AC16" s="339">
        <f t="shared" si="5"/>
        <v>0</v>
      </c>
      <c r="AD16" s="339">
        <f t="shared" si="5"/>
        <v>0</v>
      </c>
      <c r="AE16" s="339">
        <f t="shared" si="5"/>
        <v>0</v>
      </c>
      <c r="AF16" s="339">
        <f t="shared" si="5"/>
        <v>0</v>
      </c>
      <c r="AG16" s="339">
        <f t="shared" si="5"/>
        <v>0</v>
      </c>
      <c r="AH16" s="339">
        <f t="shared" si="5"/>
        <v>0</v>
      </c>
      <c r="AI16" s="339">
        <f t="shared" si="5"/>
        <v>0</v>
      </c>
      <c r="AJ16" s="339">
        <f t="shared" si="5"/>
        <v>0</v>
      </c>
      <c r="AK16" s="339">
        <f t="shared" si="5"/>
        <v>0</v>
      </c>
      <c r="AL16" s="299">
        <f t="shared" si="5"/>
        <v>0</v>
      </c>
      <c r="AM16" s="310"/>
      <c r="AN16" s="309"/>
      <c r="AQ16" s="261">
        <v>11</v>
      </c>
    </row>
    <row r="17" spans="1:43" ht="15.6">
      <c r="A17" s="316" t="s">
        <v>102</v>
      </c>
      <c r="B17" s="249" t="s">
        <v>65</v>
      </c>
      <c r="C17" s="298">
        <v>1</v>
      </c>
      <c r="D17" s="256"/>
      <c r="E17" s="309"/>
      <c r="F17" s="310"/>
      <c r="G17" s="382" t="s">
        <v>6</v>
      </c>
      <c r="H17" s="369"/>
      <c r="I17" s="252">
        <f>IF(I6&gt;$C$31,0,-$C$36)</f>
        <v>0</v>
      </c>
      <c r="J17" s="276">
        <f t="shared" ref="J17:AL17" si="6">IF(J6&gt;$C$31,0,$I$17*J7)</f>
        <v>0</v>
      </c>
      <c r="K17" s="276">
        <f t="shared" si="6"/>
        <v>0</v>
      </c>
      <c r="L17" s="276">
        <f t="shared" si="6"/>
        <v>0</v>
      </c>
      <c r="M17" s="276">
        <f t="shared" si="6"/>
        <v>0</v>
      </c>
      <c r="N17" s="276">
        <f t="shared" si="6"/>
        <v>0</v>
      </c>
      <c r="O17" s="276">
        <f t="shared" si="6"/>
        <v>0</v>
      </c>
      <c r="P17" s="276">
        <f t="shared" si="6"/>
        <v>0</v>
      </c>
      <c r="Q17" s="276">
        <f t="shared" si="6"/>
        <v>0</v>
      </c>
      <c r="R17" s="276">
        <f t="shared" si="6"/>
        <v>0</v>
      </c>
      <c r="S17" s="349">
        <f t="shared" si="6"/>
        <v>0</v>
      </c>
      <c r="T17" s="349">
        <f t="shared" si="6"/>
        <v>0</v>
      </c>
      <c r="U17" s="349">
        <f t="shared" si="6"/>
        <v>0</v>
      </c>
      <c r="V17" s="349">
        <f t="shared" si="6"/>
        <v>0</v>
      </c>
      <c r="W17" s="349">
        <f t="shared" si="6"/>
        <v>0</v>
      </c>
      <c r="X17" s="349">
        <f t="shared" si="6"/>
        <v>0</v>
      </c>
      <c r="Y17" s="349">
        <f t="shared" si="6"/>
        <v>0</v>
      </c>
      <c r="Z17" s="349">
        <f t="shared" si="6"/>
        <v>0</v>
      </c>
      <c r="AA17" s="349">
        <f t="shared" si="6"/>
        <v>0</v>
      </c>
      <c r="AB17" s="349">
        <f t="shared" si="6"/>
        <v>0</v>
      </c>
      <c r="AC17" s="349">
        <f t="shared" si="6"/>
        <v>0</v>
      </c>
      <c r="AD17" s="349">
        <f t="shared" si="6"/>
        <v>0</v>
      </c>
      <c r="AE17" s="349">
        <f t="shared" si="6"/>
        <v>0</v>
      </c>
      <c r="AF17" s="349">
        <f t="shared" si="6"/>
        <v>0</v>
      </c>
      <c r="AG17" s="349">
        <f t="shared" si="6"/>
        <v>0</v>
      </c>
      <c r="AH17" s="349">
        <f t="shared" si="6"/>
        <v>0</v>
      </c>
      <c r="AI17" s="349">
        <f t="shared" si="6"/>
        <v>0</v>
      </c>
      <c r="AJ17" s="349">
        <f t="shared" si="6"/>
        <v>0</v>
      </c>
      <c r="AK17" s="349">
        <f t="shared" si="6"/>
        <v>0</v>
      </c>
      <c r="AL17" s="299">
        <f t="shared" si="6"/>
        <v>0</v>
      </c>
      <c r="AM17" s="310"/>
      <c r="AN17" s="309"/>
      <c r="AQ17" s="261">
        <v>12</v>
      </c>
    </row>
    <row r="18" spans="1:43" ht="15.6">
      <c r="A18" s="316" t="s">
        <v>103</v>
      </c>
      <c r="B18" s="249" t="s">
        <v>65</v>
      </c>
      <c r="C18" s="298">
        <v>1</v>
      </c>
      <c r="D18" s="256"/>
      <c r="E18" s="309"/>
      <c r="F18" s="310"/>
      <c r="G18" s="382" t="s">
        <v>7</v>
      </c>
      <c r="H18" s="369"/>
      <c r="I18" s="252">
        <f t="shared" ref="I18:AL18" si="7">IF(I6&gt;$C$31,0,-$C$37)</f>
        <v>0</v>
      </c>
      <c r="J18" s="252">
        <f t="shared" si="7"/>
        <v>0</v>
      </c>
      <c r="K18" s="252">
        <f t="shared" si="7"/>
        <v>0</v>
      </c>
      <c r="L18" s="252">
        <f t="shared" si="7"/>
        <v>0</v>
      </c>
      <c r="M18" s="252">
        <f t="shared" si="7"/>
        <v>0</v>
      </c>
      <c r="N18" s="252">
        <f t="shared" si="7"/>
        <v>0</v>
      </c>
      <c r="O18" s="252">
        <f t="shared" si="7"/>
        <v>0</v>
      </c>
      <c r="P18" s="252">
        <f t="shared" si="7"/>
        <v>0</v>
      </c>
      <c r="Q18" s="252">
        <f t="shared" si="7"/>
        <v>0</v>
      </c>
      <c r="R18" s="252">
        <f t="shared" si="7"/>
        <v>0</v>
      </c>
      <c r="S18" s="331">
        <f t="shared" si="7"/>
        <v>0</v>
      </c>
      <c r="T18" s="331">
        <f t="shared" si="7"/>
        <v>0</v>
      </c>
      <c r="U18" s="331">
        <f t="shared" si="7"/>
        <v>0</v>
      </c>
      <c r="V18" s="331">
        <f t="shared" si="7"/>
        <v>0</v>
      </c>
      <c r="W18" s="331">
        <f t="shared" si="7"/>
        <v>0</v>
      </c>
      <c r="X18" s="331">
        <f t="shared" si="7"/>
        <v>0</v>
      </c>
      <c r="Y18" s="331">
        <f t="shared" si="7"/>
        <v>0</v>
      </c>
      <c r="Z18" s="252">
        <f t="shared" si="7"/>
        <v>0</v>
      </c>
      <c r="AA18" s="252">
        <f t="shared" si="7"/>
        <v>0</v>
      </c>
      <c r="AB18" s="252">
        <f t="shared" si="7"/>
        <v>0</v>
      </c>
      <c r="AC18" s="252">
        <f t="shared" si="7"/>
        <v>0</v>
      </c>
      <c r="AD18" s="252">
        <f t="shared" si="7"/>
        <v>0</v>
      </c>
      <c r="AE18" s="252">
        <f t="shared" si="7"/>
        <v>0</v>
      </c>
      <c r="AF18" s="252">
        <f t="shared" si="7"/>
        <v>0</v>
      </c>
      <c r="AG18" s="252">
        <f t="shared" si="7"/>
        <v>0</v>
      </c>
      <c r="AH18" s="252">
        <f t="shared" si="7"/>
        <v>0</v>
      </c>
      <c r="AI18" s="331">
        <f t="shared" si="7"/>
        <v>0</v>
      </c>
      <c r="AJ18" s="331">
        <f t="shared" si="7"/>
        <v>0</v>
      </c>
      <c r="AK18" s="331">
        <f t="shared" si="7"/>
        <v>0</v>
      </c>
      <c r="AL18" s="299">
        <f t="shared" si="7"/>
        <v>0</v>
      </c>
      <c r="AM18" s="310"/>
      <c r="AN18" s="309"/>
      <c r="AQ18" s="261">
        <v>13</v>
      </c>
    </row>
    <row r="19" spans="1:43" ht="15.6">
      <c r="A19" s="312" t="s">
        <v>78</v>
      </c>
      <c r="B19" s="320"/>
      <c r="C19" s="303">
        <f>-C16*'ICAP Price&amp;Impact'!$P$57-C17*'ICAP Price&amp;Impact'!P38-C18*'ICAP Price&amp;Impact'!P19</f>
        <v>226689648.10000014</v>
      </c>
      <c r="D19" s="256"/>
      <c r="E19" s="309"/>
      <c r="F19" s="310"/>
      <c r="G19" s="550" t="s">
        <v>149</v>
      </c>
      <c r="H19" s="369"/>
      <c r="I19" s="252">
        <f>IF(I6&gt;$C$31,0,-$C$38)</f>
        <v>0</v>
      </c>
      <c r="J19" s="252">
        <f t="shared" ref="J19:AL19" si="8">IF(J6&gt;$C$31,0,-$C$38)</f>
        <v>0</v>
      </c>
      <c r="K19" s="252">
        <f t="shared" si="8"/>
        <v>0</v>
      </c>
      <c r="L19" s="252">
        <f t="shared" si="8"/>
        <v>0</v>
      </c>
      <c r="M19" s="252">
        <f t="shared" si="8"/>
        <v>0</v>
      </c>
      <c r="N19" s="252">
        <f t="shared" si="8"/>
        <v>0</v>
      </c>
      <c r="O19" s="252">
        <f t="shared" si="8"/>
        <v>0</v>
      </c>
      <c r="P19" s="252">
        <f t="shared" si="8"/>
        <v>0</v>
      </c>
      <c r="Q19" s="252">
        <f t="shared" si="8"/>
        <v>0</v>
      </c>
      <c r="R19" s="252">
        <f t="shared" si="8"/>
        <v>0</v>
      </c>
      <c r="S19" s="331">
        <f t="shared" si="8"/>
        <v>0</v>
      </c>
      <c r="T19" s="331">
        <f t="shared" si="8"/>
        <v>0</v>
      </c>
      <c r="U19" s="331">
        <f t="shared" si="8"/>
        <v>0</v>
      </c>
      <c r="V19" s="331">
        <f t="shared" si="8"/>
        <v>0</v>
      </c>
      <c r="W19" s="331">
        <f t="shared" si="8"/>
        <v>0</v>
      </c>
      <c r="X19" s="331">
        <f t="shared" si="8"/>
        <v>0</v>
      </c>
      <c r="Y19" s="331">
        <f t="shared" si="8"/>
        <v>0</v>
      </c>
      <c r="Z19" s="252">
        <f t="shared" si="8"/>
        <v>0</v>
      </c>
      <c r="AA19" s="252">
        <f t="shared" si="8"/>
        <v>0</v>
      </c>
      <c r="AB19" s="252">
        <f t="shared" si="8"/>
        <v>0</v>
      </c>
      <c r="AC19" s="252">
        <f t="shared" si="8"/>
        <v>0</v>
      </c>
      <c r="AD19" s="252">
        <f t="shared" si="8"/>
        <v>0</v>
      </c>
      <c r="AE19" s="252">
        <f t="shared" si="8"/>
        <v>0</v>
      </c>
      <c r="AF19" s="252">
        <f t="shared" si="8"/>
        <v>0</v>
      </c>
      <c r="AG19" s="252">
        <f t="shared" si="8"/>
        <v>0</v>
      </c>
      <c r="AH19" s="252">
        <f t="shared" si="8"/>
        <v>0</v>
      </c>
      <c r="AI19" s="331">
        <f t="shared" si="8"/>
        <v>0</v>
      </c>
      <c r="AJ19" s="331">
        <f t="shared" si="8"/>
        <v>0</v>
      </c>
      <c r="AK19" s="331">
        <f t="shared" si="8"/>
        <v>0</v>
      </c>
      <c r="AL19" s="299">
        <f t="shared" si="8"/>
        <v>0</v>
      </c>
      <c r="AM19" s="310"/>
      <c r="AN19" s="309"/>
      <c r="AQ19" s="261">
        <v>14</v>
      </c>
    </row>
    <row r="20" spans="1:43" ht="16.2" thickBot="1">
      <c r="A20" s="316" t="s">
        <v>76</v>
      </c>
      <c r="B20" s="260" t="s">
        <v>88</v>
      </c>
      <c r="C20" s="305">
        <v>5</v>
      </c>
      <c r="D20" s="257"/>
      <c r="E20" s="309"/>
      <c r="F20" s="310"/>
      <c r="G20" s="281" t="s">
        <v>21</v>
      </c>
      <c r="H20" s="366"/>
      <c r="I20" s="271">
        <f>SUM(I16:I19)</f>
        <v>-4500000</v>
      </c>
      <c r="J20" s="272">
        <f t="shared" ref="J20:AL20" si="9">SUM(J16:J19)</f>
        <v>-4603500</v>
      </c>
      <c r="K20" s="272">
        <f t="shared" si="9"/>
        <v>-4709380.4999999991</v>
      </c>
      <c r="L20" s="272">
        <f t="shared" si="9"/>
        <v>-4817696.2514999984</v>
      </c>
      <c r="M20" s="272">
        <f t="shared" si="9"/>
        <v>-4928503.2652844982</v>
      </c>
      <c r="N20" s="272">
        <f t="shared" si="9"/>
        <v>-5041858.8403860405</v>
      </c>
      <c r="O20" s="272">
        <f t="shared" si="9"/>
        <v>-5157821.5937149199</v>
      </c>
      <c r="P20" s="272">
        <f t="shared" si="9"/>
        <v>-5276451.4903703621</v>
      </c>
      <c r="Q20" s="272">
        <f t="shared" si="9"/>
        <v>-5397809.8746488802</v>
      </c>
      <c r="R20" s="272">
        <f t="shared" si="9"/>
        <v>-5521959.5017658034</v>
      </c>
      <c r="S20" s="326">
        <f t="shared" si="9"/>
        <v>-5648964.5703064166</v>
      </c>
      <c r="T20" s="326">
        <f t="shared" si="9"/>
        <v>-5778890.7554234639</v>
      </c>
      <c r="U20" s="326">
        <f t="shared" si="9"/>
        <v>-5911805.2427982027</v>
      </c>
      <c r="V20" s="326">
        <f t="shared" si="9"/>
        <v>-6047776.7633825606</v>
      </c>
      <c r="W20" s="326">
        <f t="shared" si="9"/>
        <v>-6186875.6289403597</v>
      </c>
      <c r="X20" s="326">
        <f t="shared" si="9"/>
        <v>-6329173.768405986</v>
      </c>
      <c r="Y20" s="326">
        <f t="shared" si="9"/>
        <v>-6474744.7650793232</v>
      </c>
      <c r="Z20" s="272">
        <f t="shared" si="9"/>
        <v>-6623663.894676147</v>
      </c>
      <c r="AA20" s="272">
        <f t="shared" si="9"/>
        <v>-6776008.1642536987</v>
      </c>
      <c r="AB20" s="272">
        <f t="shared" si="9"/>
        <v>-6931856.3520315317</v>
      </c>
      <c r="AC20" s="272">
        <f t="shared" si="9"/>
        <v>0</v>
      </c>
      <c r="AD20" s="272">
        <f t="shared" si="9"/>
        <v>0</v>
      </c>
      <c r="AE20" s="272">
        <f t="shared" si="9"/>
        <v>0</v>
      </c>
      <c r="AF20" s="272">
        <f t="shared" si="9"/>
        <v>0</v>
      </c>
      <c r="AG20" s="272">
        <f t="shared" si="9"/>
        <v>0</v>
      </c>
      <c r="AH20" s="272">
        <f t="shared" si="9"/>
        <v>0</v>
      </c>
      <c r="AI20" s="326">
        <f t="shared" si="9"/>
        <v>0</v>
      </c>
      <c r="AJ20" s="326">
        <f t="shared" si="9"/>
        <v>0</v>
      </c>
      <c r="AK20" s="326">
        <f t="shared" si="9"/>
        <v>0</v>
      </c>
      <c r="AL20" s="301">
        <f t="shared" si="9"/>
        <v>0</v>
      </c>
      <c r="AM20" s="310"/>
      <c r="AN20" s="309"/>
      <c r="AQ20" s="261">
        <v>15</v>
      </c>
    </row>
    <row r="21" spans="1:43" ht="16.2" thickTop="1">
      <c r="A21" s="312" t="s">
        <v>48</v>
      </c>
      <c r="B21" s="254"/>
      <c r="C21" s="306">
        <v>1</v>
      </c>
      <c r="D21" s="257"/>
      <c r="E21" s="309"/>
      <c r="F21" s="310"/>
      <c r="G21" s="282"/>
      <c r="H21" s="247"/>
      <c r="I21" s="370"/>
      <c r="J21" s="247"/>
      <c r="K21" s="247"/>
      <c r="L21" s="247"/>
      <c r="M21" s="247"/>
      <c r="N21" s="247"/>
      <c r="O21" s="247"/>
      <c r="P21" s="247"/>
      <c r="Q21" s="247"/>
      <c r="R21" s="247"/>
      <c r="S21" s="323"/>
      <c r="T21" s="323"/>
      <c r="U21" s="323"/>
      <c r="V21" s="323"/>
      <c r="W21" s="323"/>
      <c r="X21" s="323"/>
      <c r="Y21" s="323"/>
      <c r="Z21" s="247"/>
      <c r="AA21" s="247"/>
      <c r="AB21" s="247"/>
      <c r="AC21" s="247"/>
      <c r="AD21" s="247"/>
      <c r="AE21" s="247"/>
      <c r="AF21" s="247"/>
      <c r="AG21" s="247"/>
      <c r="AH21" s="247"/>
      <c r="AI21" s="323"/>
      <c r="AJ21" s="323"/>
      <c r="AK21" s="323"/>
      <c r="AL21" s="300"/>
      <c r="AM21" s="310"/>
      <c r="AN21" s="309"/>
      <c r="AQ21" s="261">
        <v>16</v>
      </c>
    </row>
    <row r="22" spans="1:43" ht="15.6">
      <c r="A22" s="316" t="s">
        <v>129</v>
      </c>
      <c r="B22" s="249"/>
      <c r="C22" s="242" t="s">
        <v>130</v>
      </c>
      <c r="D22" s="257"/>
      <c r="E22" s="309"/>
      <c r="F22" s="310"/>
      <c r="G22" s="382" t="s">
        <v>22</v>
      </c>
      <c r="H22" s="369"/>
      <c r="I22" s="371">
        <f t="shared" ref="I22:AL22" si="10">I14+I20</f>
        <v>15273567.5</v>
      </c>
      <c r="J22" s="363">
        <f t="shared" si="10"/>
        <v>15653155.614854999</v>
      </c>
      <c r="K22" s="363">
        <f t="shared" si="10"/>
        <v>16042249.330250107</v>
      </c>
      <c r="L22" s="363">
        <f t="shared" si="10"/>
        <v>16441088.410313766</v>
      </c>
      <c r="M22" s="363">
        <f t="shared" si="10"/>
        <v>16849918.707813784</v>
      </c>
      <c r="N22" s="363">
        <f t="shared" si="10"/>
        <v>17268992.319734029</v>
      </c>
      <c r="O22" s="363">
        <f t="shared" si="10"/>
        <v>17675546.487926707</v>
      </c>
      <c r="P22" s="363">
        <f t="shared" si="10"/>
        <v>18091690.807903521</v>
      </c>
      <c r="Q22" s="363">
        <f t="shared" si="10"/>
        <v>18517651.971772213</v>
      </c>
      <c r="R22" s="363">
        <f t="shared" si="10"/>
        <v>18953662.041935537</v>
      </c>
      <c r="S22" s="339">
        <f t="shared" si="10"/>
        <v>19399958.578604631</v>
      </c>
      <c r="T22" s="363">
        <f t="shared" si="10"/>
        <v>19856784.770347394</v>
      </c>
      <c r="U22" s="363">
        <f t="shared" si="10"/>
        <v>20324389.56774414</v>
      </c>
      <c r="V22" s="363">
        <f t="shared" si="10"/>
        <v>20803027.820224799</v>
      </c>
      <c r="W22" s="363">
        <f t="shared" si="10"/>
        <v>21292960.416163608</v>
      </c>
      <c r="X22" s="363">
        <f t="shared" si="10"/>
        <v>21794454.426308863</v>
      </c>
      <c r="Y22" s="363">
        <f t="shared" si="10"/>
        <v>22307783.25062751</v>
      </c>
      <c r="Z22" s="363">
        <f t="shared" si="10"/>
        <v>22833226.768646009</v>
      </c>
      <c r="AA22" s="363">
        <f t="shared" si="10"/>
        <v>23371071.493370846</v>
      </c>
      <c r="AB22" s="363">
        <f t="shared" si="10"/>
        <v>23921610.728874288</v>
      </c>
      <c r="AC22" s="363">
        <f t="shared" si="10"/>
        <v>0</v>
      </c>
      <c r="AD22" s="363">
        <f t="shared" si="10"/>
        <v>0</v>
      </c>
      <c r="AE22" s="363">
        <f t="shared" si="10"/>
        <v>0</v>
      </c>
      <c r="AF22" s="363">
        <f t="shared" si="10"/>
        <v>0</v>
      </c>
      <c r="AG22" s="363">
        <f t="shared" si="10"/>
        <v>0</v>
      </c>
      <c r="AH22" s="363">
        <f t="shared" si="10"/>
        <v>0</v>
      </c>
      <c r="AI22" s="339">
        <f t="shared" si="10"/>
        <v>0</v>
      </c>
      <c r="AJ22" s="363">
        <f t="shared" si="10"/>
        <v>0</v>
      </c>
      <c r="AK22" s="363">
        <f t="shared" si="10"/>
        <v>0</v>
      </c>
      <c r="AL22" s="347">
        <f t="shared" si="10"/>
        <v>0</v>
      </c>
      <c r="AM22" s="310"/>
      <c r="AN22" s="309"/>
      <c r="AQ22" s="261">
        <v>17</v>
      </c>
    </row>
    <row r="23" spans="1:43" ht="15.6">
      <c r="A23" s="474" t="s">
        <v>131</v>
      </c>
      <c r="B23" s="249"/>
      <c r="C23" s="242" t="s">
        <v>130</v>
      </c>
      <c r="D23" s="257"/>
      <c r="E23" s="309"/>
      <c r="F23" s="310"/>
      <c r="G23" s="382" t="s">
        <v>23</v>
      </c>
      <c r="H23" s="369"/>
      <c r="I23" s="252">
        <f>I47</f>
        <v>-12082500</v>
      </c>
      <c r="J23" s="246">
        <f t="shared" ref="J23:AL23" si="11">J47</f>
        <v>-11731151.601735819</v>
      </c>
      <c r="K23" s="246">
        <f t="shared" si="11"/>
        <v>-11360935.794484852</v>
      </c>
      <c r="L23" s="246">
        <f t="shared" si="11"/>
        <v>-10970839.398384508</v>
      </c>
      <c r="M23" s="246">
        <f t="shared" si="11"/>
        <v>-10559794.825813577</v>
      </c>
      <c r="N23" s="246">
        <f t="shared" si="11"/>
        <v>-10126677.159695586</v>
      </c>
      <c r="O23" s="246">
        <f t="shared" si="11"/>
        <v>-9670301.0749070588</v>
      </c>
      <c r="P23" s="246">
        <f t="shared" si="11"/>
        <v>-9189417.5943653863</v>
      </c>
      <c r="Q23" s="246">
        <f t="shared" si="11"/>
        <v>-8682710.6709186286</v>
      </c>
      <c r="R23" s="246">
        <f t="shared" si="11"/>
        <v>-8148793.5856827786</v>
      </c>
      <c r="S23" s="322">
        <f t="shared" si="11"/>
        <v>-7586205.1529697627</v>
      </c>
      <c r="T23" s="246">
        <f t="shared" si="11"/>
        <v>-6993405.721420059</v>
      </c>
      <c r="U23" s="246">
        <f t="shared" si="11"/>
        <v>-6368772.9603961352</v>
      </c>
      <c r="V23" s="246">
        <f t="shared" si="11"/>
        <v>-5710597.4201052273</v>
      </c>
      <c r="W23" s="246">
        <f t="shared" si="11"/>
        <v>-5017077.8533006981</v>
      </c>
      <c r="X23" s="246">
        <f t="shared" si="11"/>
        <v>-4286316.2857587654</v>
      </c>
      <c r="Y23" s="246">
        <f t="shared" si="11"/>
        <v>-3516312.822039831</v>
      </c>
      <c r="Z23" s="246">
        <f t="shared" si="11"/>
        <v>-2704960.1723191892</v>
      </c>
      <c r="AA23" s="246">
        <f t="shared" si="11"/>
        <v>-1850037.885308549</v>
      </c>
      <c r="AB23" s="246">
        <f t="shared" si="11"/>
        <v>-949206.27148543787</v>
      </c>
      <c r="AC23" s="246">
        <f t="shared" si="11"/>
        <v>0</v>
      </c>
      <c r="AD23" s="246">
        <f t="shared" si="11"/>
        <v>0</v>
      </c>
      <c r="AE23" s="246">
        <f t="shared" si="11"/>
        <v>0</v>
      </c>
      <c r="AF23" s="246">
        <f t="shared" si="11"/>
        <v>0</v>
      </c>
      <c r="AG23" s="246">
        <f t="shared" si="11"/>
        <v>0</v>
      </c>
      <c r="AH23" s="246">
        <f t="shared" si="11"/>
        <v>0</v>
      </c>
      <c r="AI23" s="322">
        <f t="shared" si="11"/>
        <v>0</v>
      </c>
      <c r="AJ23" s="246">
        <f t="shared" si="11"/>
        <v>0</v>
      </c>
      <c r="AK23" s="246">
        <f t="shared" si="11"/>
        <v>0</v>
      </c>
      <c r="AL23" s="336">
        <f t="shared" si="11"/>
        <v>0</v>
      </c>
      <c r="AM23" s="310"/>
      <c r="AN23" s="309"/>
      <c r="AQ23" s="261">
        <v>18</v>
      </c>
    </row>
    <row r="24" spans="1:43" ht="15.6">
      <c r="A24" s="337" t="s">
        <v>8</v>
      </c>
      <c r="B24" s="350"/>
      <c r="C24" s="325"/>
      <c r="D24" s="258"/>
      <c r="E24" s="309"/>
      <c r="F24" s="310"/>
      <c r="G24" s="383" t="s">
        <v>24</v>
      </c>
      <c r="H24" s="368"/>
      <c r="I24" s="252">
        <f>I42</f>
        <v>-90000000</v>
      </c>
      <c r="J24" s="246">
        <f>J42</f>
        <v>-144000000</v>
      </c>
      <c r="K24" s="246">
        <f t="shared" ref="K24:AL24" si="12">K42</f>
        <v>-86400000</v>
      </c>
      <c r="L24" s="246">
        <f t="shared" si="12"/>
        <v>-51840000</v>
      </c>
      <c r="M24" s="246">
        <f t="shared" si="12"/>
        <v>-51840000</v>
      </c>
      <c r="N24" s="246">
        <f t="shared" si="12"/>
        <v>-25920000</v>
      </c>
      <c r="O24" s="246">
        <f t="shared" si="12"/>
        <v>0</v>
      </c>
      <c r="P24" s="246">
        <f t="shared" si="12"/>
        <v>0</v>
      </c>
      <c r="Q24" s="246">
        <f t="shared" si="12"/>
        <v>0</v>
      </c>
      <c r="R24" s="246">
        <f t="shared" si="12"/>
        <v>0</v>
      </c>
      <c r="S24" s="322">
        <f t="shared" si="12"/>
        <v>0</v>
      </c>
      <c r="T24" s="246">
        <f t="shared" si="12"/>
        <v>0</v>
      </c>
      <c r="U24" s="246">
        <f t="shared" si="12"/>
        <v>0</v>
      </c>
      <c r="V24" s="246">
        <f t="shared" si="12"/>
        <v>0</v>
      </c>
      <c r="W24" s="246">
        <f t="shared" si="12"/>
        <v>0</v>
      </c>
      <c r="X24" s="246">
        <f t="shared" si="12"/>
        <v>0</v>
      </c>
      <c r="Y24" s="246">
        <f t="shared" si="12"/>
        <v>0</v>
      </c>
      <c r="Z24" s="246">
        <f t="shared" si="12"/>
        <v>0</v>
      </c>
      <c r="AA24" s="246">
        <f t="shared" si="12"/>
        <v>0</v>
      </c>
      <c r="AB24" s="246">
        <f t="shared" si="12"/>
        <v>0</v>
      </c>
      <c r="AC24" s="246">
        <f t="shared" si="12"/>
        <v>0</v>
      </c>
      <c r="AD24" s="246">
        <f t="shared" si="12"/>
        <v>0</v>
      </c>
      <c r="AE24" s="246">
        <f t="shared" si="12"/>
        <v>0</v>
      </c>
      <c r="AF24" s="246">
        <f t="shared" si="12"/>
        <v>0</v>
      </c>
      <c r="AG24" s="246">
        <f t="shared" si="12"/>
        <v>0</v>
      </c>
      <c r="AH24" s="246">
        <f t="shared" si="12"/>
        <v>0</v>
      </c>
      <c r="AI24" s="322">
        <f t="shared" si="12"/>
        <v>0</v>
      </c>
      <c r="AJ24" s="246">
        <f t="shared" si="12"/>
        <v>0</v>
      </c>
      <c r="AK24" s="246">
        <f t="shared" si="12"/>
        <v>0</v>
      </c>
      <c r="AL24" s="336">
        <f t="shared" si="12"/>
        <v>0</v>
      </c>
      <c r="AM24" s="310"/>
      <c r="AN24" s="309"/>
      <c r="AQ24" s="261">
        <v>19</v>
      </c>
    </row>
    <row r="25" spans="1:43" ht="16.2" thickBot="1">
      <c r="A25" s="316" t="s">
        <v>9</v>
      </c>
      <c r="B25" s="320"/>
      <c r="C25" s="295">
        <v>0.5</v>
      </c>
      <c r="E25" s="309"/>
      <c r="F25" s="310"/>
      <c r="G25" s="279" t="s">
        <v>25</v>
      </c>
      <c r="H25" s="367"/>
      <c r="I25" s="269">
        <f>SUM(I22:I24)</f>
        <v>-86808932.5</v>
      </c>
      <c r="J25" s="270">
        <f t="shared" ref="J25:R25" si="13">SUM(J22:J24)</f>
        <v>-140077995.98688081</v>
      </c>
      <c r="K25" s="270">
        <f t="shared" si="13"/>
        <v>-81718686.46423474</v>
      </c>
      <c r="L25" s="270">
        <f t="shared" si="13"/>
        <v>-46369750.988070741</v>
      </c>
      <c r="M25" s="270">
        <f t="shared" si="13"/>
        <v>-45549876.117999792</v>
      </c>
      <c r="N25" s="270">
        <f t="shared" si="13"/>
        <v>-18777684.839961559</v>
      </c>
      <c r="O25" s="270">
        <f t="shared" si="13"/>
        <v>8005245.4130196478</v>
      </c>
      <c r="P25" s="270">
        <f t="shared" si="13"/>
        <v>8902273.2135381345</v>
      </c>
      <c r="Q25" s="270">
        <f t="shared" si="13"/>
        <v>9834941.300853584</v>
      </c>
      <c r="R25" s="270">
        <f t="shared" si="13"/>
        <v>10804868.456252757</v>
      </c>
      <c r="S25" s="330">
        <f t="shared" ref="S25:Y25" si="14">SUM(S22:S24)</f>
        <v>11813753.425634868</v>
      </c>
      <c r="T25" s="270">
        <f t="shared" si="14"/>
        <v>12863379.048927335</v>
      </c>
      <c r="U25" s="270">
        <f t="shared" si="14"/>
        <v>13955616.607348004</v>
      </c>
      <c r="V25" s="270">
        <f t="shared" si="14"/>
        <v>15092430.400119573</v>
      </c>
      <c r="W25" s="270">
        <f t="shared" si="14"/>
        <v>16275882.56286291</v>
      </c>
      <c r="X25" s="270">
        <f t="shared" si="14"/>
        <v>17508138.140550099</v>
      </c>
      <c r="Y25" s="270">
        <f t="shared" si="14"/>
        <v>18791470.428587679</v>
      </c>
      <c r="Z25" s="270">
        <f t="shared" ref="Z25:AH25" si="15">SUM(Z22:Z24)</f>
        <v>20128266.596326821</v>
      </c>
      <c r="AA25" s="270">
        <f t="shared" si="15"/>
        <v>21521033.608062297</v>
      </c>
      <c r="AB25" s="270">
        <f t="shared" si="15"/>
        <v>22972404.457388852</v>
      </c>
      <c r="AC25" s="270">
        <f t="shared" si="15"/>
        <v>0</v>
      </c>
      <c r="AD25" s="270">
        <f t="shared" si="15"/>
        <v>0</v>
      </c>
      <c r="AE25" s="270">
        <f t="shared" si="15"/>
        <v>0</v>
      </c>
      <c r="AF25" s="270">
        <f t="shared" si="15"/>
        <v>0</v>
      </c>
      <c r="AG25" s="270">
        <f t="shared" si="15"/>
        <v>0</v>
      </c>
      <c r="AH25" s="270">
        <f t="shared" si="15"/>
        <v>0</v>
      </c>
      <c r="AI25" s="330">
        <f>SUM(AI22:AI24)</f>
        <v>0</v>
      </c>
      <c r="AJ25" s="270">
        <f>SUM(AJ22:AJ24)</f>
        <v>0</v>
      </c>
      <c r="AK25" s="270">
        <f>SUM(AK22:AK24)</f>
        <v>0</v>
      </c>
      <c r="AL25" s="344">
        <f>SUM(AL22:AL24)</f>
        <v>0</v>
      </c>
      <c r="AM25" s="310"/>
      <c r="AN25" s="309"/>
      <c r="AQ25" s="261">
        <v>20</v>
      </c>
    </row>
    <row r="26" spans="1:43" ht="16.2" thickTop="1">
      <c r="A26" s="312" t="s">
        <v>10</v>
      </c>
      <c r="B26" s="250"/>
      <c r="C26" s="308">
        <f>1-C25</f>
        <v>0.5</v>
      </c>
      <c r="D26" s="251"/>
      <c r="E26" s="309"/>
      <c r="F26" s="310"/>
      <c r="G26" s="282"/>
      <c r="H26" s="247"/>
      <c r="I26" s="370"/>
      <c r="J26" s="247"/>
      <c r="K26" s="247"/>
      <c r="L26" s="247"/>
      <c r="M26" s="247"/>
      <c r="N26" s="247"/>
      <c r="O26" s="247"/>
      <c r="P26" s="247"/>
      <c r="Q26" s="247"/>
      <c r="R26" s="247"/>
      <c r="S26" s="323"/>
      <c r="T26" s="247"/>
      <c r="U26" s="247"/>
      <c r="V26" s="247"/>
      <c r="W26" s="323"/>
      <c r="X26" s="323"/>
      <c r="Y26" s="323"/>
      <c r="Z26" s="247"/>
      <c r="AA26" s="247"/>
      <c r="AB26" s="247"/>
      <c r="AC26" s="247"/>
      <c r="AD26" s="247"/>
      <c r="AE26" s="247"/>
      <c r="AF26" s="247"/>
      <c r="AG26" s="247"/>
      <c r="AH26" s="247"/>
      <c r="AI26" s="323"/>
      <c r="AJ26" s="247"/>
      <c r="AK26" s="247"/>
      <c r="AL26" s="302"/>
      <c r="AM26" s="310"/>
      <c r="AN26" s="309"/>
      <c r="AQ26" s="261">
        <v>21</v>
      </c>
    </row>
    <row r="27" spans="1:43" ht="15.6">
      <c r="A27" s="316" t="s">
        <v>11</v>
      </c>
      <c r="B27" s="320"/>
      <c r="C27" s="593">
        <v>5.3699999999999998E-2</v>
      </c>
      <c r="D27" s="251"/>
      <c r="E27" s="309"/>
      <c r="F27" s="310"/>
      <c r="G27" s="384" t="s">
        <v>137</v>
      </c>
      <c r="H27" s="247"/>
      <c r="I27" s="252">
        <f>IF($C$23="NO",0,C6*30%)</f>
        <v>135000000</v>
      </c>
      <c r="J27" s="252">
        <v>0</v>
      </c>
      <c r="K27" s="252">
        <v>0</v>
      </c>
      <c r="L27" s="252">
        <v>0</v>
      </c>
      <c r="M27" s="252">
        <v>0</v>
      </c>
      <c r="N27" s="252">
        <v>0</v>
      </c>
      <c r="O27" s="252">
        <v>0</v>
      </c>
      <c r="P27" s="252">
        <v>0</v>
      </c>
      <c r="Q27" s="252">
        <v>0</v>
      </c>
      <c r="R27" s="252">
        <v>0</v>
      </c>
      <c r="S27" s="252">
        <v>0</v>
      </c>
      <c r="T27" s="252">
        <v>0</v>
      </c>
      <c r="U27" s="252">
        <v>0</v>
      </c>
      <c r="V27" s="252">
        <v>0</v>
      </c>
      <c r="W27" s="252">
        <v>0</v>
      </c>
      <c r="X27" s="252">
        <v>0</v>
      </c>
      <c r="Y27" s="252">
        <v>0</v>
      </c>
      <c r="Z27" s="252">
        <v>0</v>
      </c>
      <c r="AA27" s="252">
        <v>0</v>
      </c>
      <c r="AB27" s="252">
        <v>0</v>
      </c>
      <c r="AC27" s="252">
        <v>0</v>
      </c>
      <c r="AD27" s="252">
        <v>0</v>
      </c>
      <c r="AE27" s="252">
        <v>0</v>
      </c>
      <c r="AF27" s="252">
        <v>0</v>
      </c>
      <c r="AG27" s="252">
        <v>0</v>
      </c>
      <c r="AH27" s="252">
        <v>0</v>
      </c>
      <c r="AI27" s="252">
        <v>0</v>
      </c>
      <c r="AJ27" s="252">
        <v>0</v>
      </c>
      <c r="AK27" s="252">
        <v>0</v>
      </c>
      <c r="AL27" s="307">
        <v>0</v>
      </c>
      <c r="AM27" s="310"/>
      <c r="AN27" s="309"/>
      <c r="AQ27" s="261">
        <v>22</v>
      </c>
    </row>
    <row r="28" spans="1:43" ht="15.6">
      <c r="A28" s="316" t="s">
        <v>12</v>
      </c>
      <c r="B28" s="320"/>
      <c r="C28" s="593">
        <v>8.9300000000000004E-2</v>
      </c>
      <c r="D28" s="251"/>
      <c r="E28" s="309"/>
      <c r="F28" s="310"/>
      <c r="G28" s="384" t="s">
        <v>26</v>
      </c>
      <c r="H28" s="365"/>
      <c r="I28" s="372">
        <f>-MAX(MAX(I25*$C$30,0),0)</f>
        <v>0</v>
      </c>
      <c r="J28" s="372">
        <f t="shared" ref="J28:AL28" si="16">-MAX(MAX(J25*$C$30,0),0)</f>
        <v>0</v>
      </c>
      <c r="K28" s="372">
        <f t="shared" si="16"/>
        <v>0</v>
      </c>
      <c r="L28" s="372">
        <f t="shared" si="16"/>
        <v>0</v>
      </c>
      <c r="M28" s="372">
        <f t="shared" si="16"/>
        <v>0</v>
      </c>
      <c r="N28" s="372">
        <f t="shared" si="16"/>
        <v>0</v>
      </c>
      <c r="O28" s="372">
        <f t="shared" si="16"/>
        <v>-3631779.7127516889</v>
      </c>
      <c r="P28" s="372">
        <f t="shared" si="16"/>
        <v>-4038738.800151913</v>
      </c>
      <c r="Q28" s="372">
        <f t="shared" si="16"/>
        <v>-4461866.9946647501</v>
      </c>
      <c r="R28" s="372">
        <f t="shared" si="16"/>
        <v>-4901898.6968904696</v>
      </c>
      <c r="S28" s="372">
        <f t="shared" si="16"/>
        <v>-5359604.5853748992</v>
      </c>
      <c r="T28" s="372">
        <f t="shared" si="16"/>
        <v>-5835793.4900221089</v>
      </c>
      <c r="U28" s="372">
        <f t="shared" si="16"/>
        <v>-6331314.3643386057</v>
      </c>
      <c r="V28" s="372">
        <f t="shared" si="16"/>
        <v>-6847058.3617742471</v>
      </c>
      <c r="W28" s="372">
        <f t="shared" si="16"/>
        <v>-7383961.0217068307</v>
      </c>
      <c r="X28" s="372">
        <f t="shared" si="16"/>
        <v>-7943004.5709140664</v>
      </c>
      <c r="Y28" s="372">
        <f t="shared" si="16"/>
        <v>-8525220.3466895148</v>
      </c>
      <c r="Z28" s="372">
        <f t="shared" si="16"/>
        <v>-9131691.3480885699</v>
      </c>
      <c r="AA28" s="372">
        <f t="shared" si="16"/>
        <v>-9763554.9221376628</v>
      </c>
      <c r="AB28" s="372">
        <f t="shared" si="16"/>
        <v>-10422005.592205888</v>
      </c>
      <c r="AC28" s="372">
        <f t="shared" si="16"/>
        <v>0</v>
      </c>
      <c r="AD28" s="372">
        <f t="shared" si="16"/>
        <v>0</v>
      </c>
      <c r="AE28" s="372">
        <f t="shared" si="16"/>
        <v>0</v>
      </c>
      <c r="AF28" s="372">
        <f t="shared" si="16"/>
        <v>0</v>
      </c>
      <c r="AG28" s="372">
        <f t="shared" si="16"/>
        <v>0</v>
      </c>
      <c r="AH28" s="372">
        <f t="shared" si="16"/>
        <v>0</v>
      </c>
      <c r="AI28" s="372">
        <f t="shared" si="16"/>
        <v>0</v>
      </c>
      <c r="AJ28" s="372">
        <f t="shared" si="16"/>
        <v>0</v>
      </c>
      <c r="AK28" s="372">
        <f t="shared" si="16"/>
        <v>0</v>
      </c>
      <c r="AL28" s="403">
        <f t="shared" si="16"/>
        <v>0</v>
      </c>
      <c r="AM28" s="310"/>
      <c r="AN28" s="309"/>
      <c r="AQ28" s="261">
        <v>23</v>
      </c>
    </row>
    <row r="29" spans="1:43" ht="15.6">
      <c r="A29" s="312" t="s">
        <v>13</v>
      </c>
      <c r="B29" s="320"/>
      <c r="C29" s="296">
        <v>2.3E-2</v>
      </c>
      <c r="D29" s="262"/>
      <c r="E29" s="309"/>
      <c r="F29" s="310"/>
      <c r="G29" s="282" t="s">
        <v>27</v>
      </c>
      <c r="H29" s="247"/>
      <c r="I29" s="252">
        <f>I48</f>
        <v>-6542800.7125545703</v>
      </c>
      <c r="J29" s="246">
        <f t="shared" ref="J29:X29" si="17">J48</f>
        <v>-6894149.1108187512</v>
      </c>
      <c r="K29" s="246">
        <f t="shared" si="17"/>
        <v>-7264364.9180697184</v>
      </c>
      <c r="L29" s="246">
        <f t="shared" si="17"/>
        <v>-7654461.3141700625</v>
      </c>
      <c r="M29" s="246">
        <f t="shared" si="17"/>
        <v>-8065505.8867409937</v>
      </c>
      <c r="N29" s="246">
        <f t="shared" si="17"/>
        <v>-8498623.5528589841</v>
      </c>
      <c r="O29" s="246">
        <f t="shared" si="17"/>
        <v>-8954999.6376475114</v>
      </c>
      <c r="P29" s="246">
        <f t="shared" si="17"/>
        <v>-9435883.118189184</v>
      </c>
      <c r="Q29" s="246">
        <f t="shared" si="17"/>
        <v>-9942590.0416359417</v>
      </c>
      <c r="R29" s="246">
        <f t="shared" si="17"/>
        <v>-10476507.126871791</v>
      </c>
      <c r="S29" s="322">
        <f t="shared" si="17"/>
        <v>-11039095.559584808</v>
      </c>
      <c r="T29" s="246">
        <f t="shared" si="17"/>
        <v>-11631894.991134511</v>
      </c>
      <c r="U29" s="246">
        <f t="shared" si="17"/>
        <v>-12256527.752158435</v>
      </c>
      <c r="V29" s="246">
        <f t="shared" si="17"/>
        <v>-12914703.292449344</v>
      </c>
      <c r="W29" s="322">
        <f t="shared" si="17"/>
        <v>-13608222.859253872</v>
      </c>
      <c r="X29" s="322">
        <f t="shared" si="17"/>
        <v>-14338984.426795805</v>
      </c>
      <c r="Y29" s="322">
        <f>Y48</f>
        <v>-15108987.890514739</v>
      </c>
      <c r="Z29" s="246">
        <f t="shared" ref="Z29:AL29" si="18">Z48</f>
        <v>-15920340.540235382</v>
      </c>
      <c r="AA29" s="246">
        <f t="shared" si="18"/>
        <v>-16775262.827246021</v>
      </c>
      <c r="AB29" s="246">
        <f t="shared" si="18"/>
        <v>-17676094.441069134</v>
      </c>
      <c r="AC29" s="246">
        <f t="shared" si="18"/>
        <v>0</v>
      </c>
      <c r="AD29" s="246">
        <f t="shared" si="18"/>
        <v>0</v>
      </c>
      <c r="AE29" s="246">
        <f t="shared" si="18"/>
        <v>0</v>
      </c>
      <c r="AF29" s="246">
        <f t="shared" si="18"/>
        <v>0</v>
      </c>
      <c r="AG29" s="246">
        <f t="shared" si="18"/>
        <v>0</v>
      </c>
      <c r="AH29" s="246">
        <f t="shared" si="18"/>
        <v>0</v>
      </c>
      <c r="AI29" s="322">
        <f t="shared" si="18"/>
        <v>0</v>
      </c>
      <c r="AJ29" s="246">
        <f t="shared" si="18"/>
        <v>0</v>
      </c>
      <c r="AK29" s="246">
        <f t="shared" si="18"/>
        <v>0</v>
      </c>
      <c r="AL29" s="336">
        <f t="shared" si="18"/>
        <v>0</v>
      </c>
      <c r="AM29" s="310"/>
      <c r="AN29" s="309"/>
      <c r="AQ29" s="261">
        <v>24</v>
      </c>
    </row>
    <row r="30" spans="1:43" ht="16.2" thickBot="1">
      <c r="A30" s="316" t="s">
        <v>14</v>
      </c>
      <c r="B30" s="320"/>
      <c r="C30" s="296">
        <v>0.45367499999999999</v>
      </c>
      <c r="D30" s="262"/>
      <c r="E30" s="309"/>
      <c r="F30" s="310"/>
      <c r="G30" s="283" t="s">
        <v>40</v>
      </c>
      <c r="H30" s="373"/>
      <c r="I30" s="265">
        <f>I22+I23+I28+I29+I27</f>
        <v>131648266.78744543</v>
      </c>
      <c r="J30" s="266">
        <f>J22+J23+J28+J29+J27</f>
        <v>-2972145.0976995714</v>
      </c>
      <c r="K30" s="266">
        <f t="shared" ref="K30:AL30" si="19">K22+K23+K28+K29+K27</f>
        <v>-2583051.3823044635</v>
      </c>
      <c r="L30" s="266">
        <f t="shared" si="19"/>
        <v>-2184212.3022408038</v>
      </c>
      <c r="M30" s="266">
        <f t="shared" si="19"/>
        <v>-1775382.0047407858</v>
      </c>
      <c r="N30" s="266">
        <f t="shared" si="19"/>
        <v>-1356308.3928205408</v>
      </c>
      <c r="O30" s="266">
        <f t="shared" si="19"/>
        <v>-4581533.9373795521</v>
      </c>
      <c r="P30" s="266">
        <f t="shared" si="19"/>
        <v>-4572348.704802962</v>
      </c>
      <c r="Q30" s="266">
        <f t="shared" si="19"/>
        <v>-4569515.7354471078</v>
      </c>
      <c r="R30" s="266">
        <f t="shared" si="19"/>
        <v>-4573537.3675095029</v>
      </c>
      <c r="S30" s="346">
        <f t="shared" si="19"/>
        <v>-4584946.7193248384</v>
      </c>
      <c r="T30" s="266">
        <f t="shared" si="19"/>
        <v>-4604309.4322292851</v>
      </c>
      <c r="U30" s="266">
        <f t="shared" si="19"/>
        <v>-4632225.5091490364</v>
      </c>
      <c r="V30" s="266">
        <f t="shared" si="19"/>
        <v>-4669331.2541040182</v>
      </c>
      <c r="W30" s="346">
        <f t="shared" si="19"/>
        <v>-4716301.3180977926</v>
      </c>
      <c r="X30" s="346">
        <f t="shared" si="19"/>
        <v>-4773850.8571597729</v>
      </c>
      <c r="Y30" s="346">
        <f t="shared" si="19"/>
        <v>-4842737.8086165749</v>
      </c>
      <c r="Z30" s="266">
        <f t="shared" si="19"/>
        <v>-4923765.291997131</v>
      </c>
      <c r="AA30" s="266">
        <f t="shared" si="19"/>
        <v>-5017784.1413213871</v>
      </c>
      <c r="AB30" s="266">
        <f t="shared" si="19"/>
        <v>-5125695.5758861694</v>
      </c>
      <c r="AC30" s="266">
        <f t="shared" si="19"/>
        <v>0</v>
      </c>
      <c r="AD30" s="266">
        <f t="shared" si="19"/>
        <v>0</v>
      </c>
      <c r="AE30" s="266">
        <f t="shared" si="19"/>
        <v>0</v>
      </c>
      <c r="AF30" s="266">
        <f t="shared" si="19"/>
        <v>0</v>
      </c>
      <c r="AG30" s="266">
        <f t="shared" si="19"/>
        <v>0</v>
      </c>
      <c r="AH30" s="266">
        <f t="shared" si="19"/>
        <v>0</v>
      </c>
      <c r="AI30" s="346">
        <f t="shared" si="19"/>
        <v>0</v>
      </c>
      <c r="AJ30" s="266">
        <f t="shared" si="19"/>
        <v>0</v>
      </c>
      <c r="AK30" s="266">
        <f t="shared" si="19"/>
        <v>0</v>
      </c>
      <c r="AL30" s="327">
        <f t="shared" si="19"/>
        <v>0</v>
      </c>
      <c r="AM30" s="310"/>
      <c r="AN30" s="309"/>
      <c r="AQ30" s="261">
        <v>25</v>
      </c>
    </row>
    <row r="31" spans="1:43" ht="16.2" thickTop="1">
      <c r="A31" s="312" t="s">
        <v>75</v>
      </c>
      <c r="B31" s="320"/>
      <c r="C31" s="304">
        <v>20</v>
      </c>
      <c r="D31" s="262"/>
      <c r="E31" s="309"/>
      <c r="F31" s="310"/>
      <c r="G31" s="385"/>
      <c r="H31" s="374"/>
      <c r="I31" s="371"/>
      <c r="J31" s="363"/>
      <c r="K31" s="363"/>
      <c r="L31" s="363"/>
      <c r="M31" s="363"/>
      <c r="N31" s="363"/>
      <c r="O31" s="363"/>
      <c r="P31" s="363"/>
      <c r="Q31" s="363"/>
      <c r="R31" s="363"/>
      <c r="S31" s="339"/>
      <c r="T31" s="363"/>
      <c r="U31" s="363"/>
      <c r="V31" s="363"/>
      <c r="W31" s="339"/>
      <c r="X31" s="339"/>
      <c r="Y31" s="339"/>
      <c r="Z31" s="363"/>
      <c r="AA31" s="363"/>
      <c r="AB31" s="363"/>
      <c r="AC31" s="363"/>
      <c r="AD31" s="363"/>
      <c r="AE31" s="363"/>
      <c r="AF31" s="363"/>
      <c r="AG31" s="363"/>
      <c r="AH31" s="363"/>
      <c r="AI31" s="339"/>
      <c r="AJ31" s="363"/>
      <c r="AK31" s="363"/>
      <c r="AL31" s="347"/>
      <c r="AM31" s="310"/>
      <c r="AN31" s="309"/>
      <c r="AQ31" s="261">
        <v>26</v>
      </c>
    </row>
    <row r="32" spans="1:43" ht="15.6">
      <c r="A32" s="316" t="s">
        <v>44</v>
      </c>
      <c r="B32" s="254"/>
      <c r="C32" s="342" t="s">
        <v>45</v>
      </c>
      <c r="D32" s="262"/>
      <c r="E32" s="309"/>
      <c r="F32" s="310"/>
      <c r="G32" s="282" t="s">
        <v>28</v>
      </c>
      <c r="H32" s="380"/>
      <c r="I32" s="362">
        <f t="shared" ref="I32:AL32" si="20">IF($C$20&lt;&gt;0,MAX((($C$20+1-I6)/$C$20),0),0)*($C$7*$C$8/100)*(IF(I6&gt;$C$31,0,$C$19))</f>
        <v>56672412.025000036</v>
      </c>
      <c r="J32" s="362">
        <f t="shared" si="20"/>
        <v>45337929.620000035</v>
      </c>
      <c r="K32" s="362">
        <f t="shared" si="20"/>
        <v>34003447.215000018</v>
      </c>
      <c r="L32" s="362">
        <f t="shared" si="20"/>
        <v>22668964.810000017</v>
      </c>
      <c r="M32" s="362">
        <f t="shared" si="20"/>
        <v>11334482.405000009</v>
      </c>
      <c r="N32" s="362">
        <f t="shared" si="20"/>
        <v>0</v>
      </c>
      <c r="O32" s="362">
        <f t="shared" si="20"/>
        <v>0</v>
      </c>
      <c r="P32" s="362">
        <f t="shared" si="20"/>
        <v>0</v>
      </c>
      <c r="Q32" s="362">
        <f t="shared" si="20"/>
        <v>0</v>
      </c>
      <c r="R32" s="362">
        <f t="shared" si="20"/>
        <v>0</v>
      </c>
      <c r="S32" s="362">
        <f t="shared" si="20"/>
        <v>0</v>
      </c>
      <c r="T32" s="362">
        <f t="shared" si="20"/>
        <v>0</v>
      </c>
      <c r="U32" s="362">
        <f t="shared" si="20"/>
        <v>0</v>
      </c>
      <c r="V32" s="362">
        <f t="shared" si="20"/>
        <v>0</v>
      </c>
      <c r="W32" s="362">
        <f t="shared" si="20"/>
        <v>0</v>
      </c>
      <c r="X32" s="362">
        <f t="shared" si="20"/>
        <v>0</v>
      </c>
      <c r="Y32" s="362">
        <f t="shared" si="20"/>
        <v>0</v>
      </c>
      <c r="Z32" s="362">
        <f t="shared" si="20"/>
        <v>0</v>
      </c>
      <c r="AA32" s="362">
        <f t="shared" si="20"/>
        <v>0</v>
      </c>
      <c r="AB32" s="362">
        <f t="shared" si="20"/>
        <v>0</v>
      </c>
      <c r="AC32" s="362">
        <f t="shared" si="20"/>
        <v>0</v>
      </c>
      <c r="AD32" s="362">
        <f t="shared" si="20"/>
        <v>0</v>
      </c>
      <c r="AE32" s="362">
        <f t="shared" si="20"/>
        <v>0</v>
      </c>
      <c r="AF32" s="362">
        <f t="shared" si="20"/>
        <v>0</v>
      </c>
      <c r="AG32" s="362">
        <f t="shared" si="20"/>
        <v>0</v>
      </c>
      <c r="AH32" s="362">
        <f t="shared" si="20"/>
        <v>0</v>
      </c>
      <c r="AI32" s="362">
        <f t="shared" si="20"/>
        <v>0</v>
      </c>
      <c r="AJ32" s="362">
        <f t="shared" si="20"/>
        <v>0</v>
      </c>
      <c r="AK32" s="362">
        <f t="shared" si="20"/>
        <v>0</v>
      </c>
      <c r="AL32" s="375">
        <f t="shared" si="20"/>
        <v>0</v>
      </c>
      <c r="AM32" s="310"/>
      <c r="AN32" s="309"/>
      <c r="AQ32" s="261">
        <v>27</v>
      </c>
    </row>
    <row r="33" spans="1:45" ht="15.6">
      <c r="A33" s="312" t="s">
        <v>15</v>
      </c>
      <c r="B33" s="320"/>
      <c r="C33" s="304">
        <v>5</v>
      </c>
      <c r="D33" s="262"/>
      <c r="E33" s="309"/>
      <c r="F33" s="310"/>
      <c r="G33" s="173" t="s">
        <v>26</v>
      </c>
      <c r="H33" s="380"/>
      <c r="I33" s="362">
        <f t="shared" ref="I33:AL33" si="21">IF($C$22="NO",0,-I32*$C$30)</f>
        <v>-25710856.525441892</v>
      </c>
      <c r="J33" s="362">
        <f t="shared" si="21"/>
        <v>-20568685.220353514</v>
      </c>
      <c r="K33" s="362">
        <f t="shared" si="21"/>
        <v>-15426513.915265134</v>
      </c>
      <c r="L33" s="362">
        <f t="shared" si="21"/>
        <v>-10284342.610176757</v>
      </c>
      <c r="M33" s="362">
        <f t="shared" si="21"/>
        <v>-5142171.3050883785</v>
      </c>
      <c r="N33" s="362">
        <f t="shared" si="21"/>
        <v>0</v>
      </c>
      <c r="O33" s="362">
        <f t="shared" si="21"/>
        <v>0</v>
      </c>
      <c r="P33" s="362">
        <f t="shared" si="21"/>
        <v>0</v>
      </c>
      <c r="Q33" s="362">
        <f t="shared" si="21"/>
        <v>0</v>
      </c>
      <c r="R33" s="362">
        <f t="shared" si="21"/>
        <v>0</v>
      </c>
      <c r="S33" s="362">
        <f t="shared" si="21"/>
        <v>0</v>
      </c>
      <c r="T33" s="362">
        <f t="shared" si="21"/>
        <v>0</v>
      </c>
      <c r="U33" s="362">
        <f t="shared" si="21"/>
        <v>0</v>
      </c>
      <c r="V33" s="362">
        <f t="shared" si="21"/>
        <v>0</v>
      </c>
      <c r="W33" s="362">
        <f t="shared" si="21"/>
        <v>0</v>
      </c>
      <c r="X33" s="362">
        <f t="shared" si="21"/>
        <v>0</v>
      </c>
      <c r="Y33" s="362">
        <f t="shared" si="21"/>
        <v>0</v>
      </c>
      <c r="Z33" s="362">
        <f t="shared" si="21"/>
        <v>0</v>
      </c>
      <c r="AA33" s="362">
        <f t="shared" si="21"/>
        <v>0</v>
      </c>
      <c r="AB33" s="362">
        <f t="shared" si="21"/>
        <v>0</v>
      </c>
      <c r="AC33" s="362">
        <f t="shared" si="21"/>
        <v>0</v>
      </c>
      <c r="AD33" s="362">
        <f t="shared" si="21"/>
        <v>0</v>
      </c>
      <c r="AE33" s="362">
        <f t="shared" si="21"/>
        <v>0</v>
      </c>
      <c r="AF33" s="362">
        <f t="shared" si="21"/>
        <v>0</v>
      </c>
      <c r="AG33" s="362">
        <f t="shared" si="21"/>
        <v>0</v>
      </c>
      <c r="AH33" s="362">
        <f t="shared" si="21"/>
        <v>0</v>
      </c>
      <c r="AI33" s="362">
        <f t="shared" si="21"/>
        <v>0</v>
      </c>
      <c r="AJ33" s="362">
        <f t="shared" si="21"/>
        <v>0</v>
      </c>
      <c r="AK33" s="362">
        <f t="shared" si="21"/>
        <v>0</v>
      </c>
      <c r="AL33" s="375">
        <f t="shared" si="21"/>
        <v>0</v>
      </c>
      <c r="AM33" s="310"/>
      <c r="AN33" s="309"/>
      <c r="AQ33" s="261">
        <v>28</v>
      </c>
    </row>
    <row r="34" spans="1:45" ht="16.2" thickBot="1">
      <c r="A34" s="337" t="s">
        <v>4</v>
      </c>
      <c r="B34" s="350"/>
      <c r="C34" s="325"/>
      <c r="E34" s="309"/>
      <c r="F34" s="310"/>
      <c r="G34" s="283" t="s">
        <v>41</v>
      </c>
      <c r="H34" s="373"/>
      <c r="I34" s="267">
        <f>I32+I30+I33</f>
        <v>162609822.28700358</v>
      </c>
      <c r="J34" s="268">
        <f t="shared" ref="J34:AL34" si="22">J32+J30+J33</f>
        <v>21797099.301946953</v>
      </c>
      <c r="K34" s="268">
        <f t="shared" si="22"/>
        <v>15993881.917430421</v>
      </c>
      <c r="L34" s="268">
        <f t="shared" si="22"/>
        <v>10200409.897582456</v>
      </c>
      <c r="M34" s="268">
        <f t="shared" si="22"/>
        <v>4416929.0951708443</v>
      </c>
      <c r="N34" s="268">
        <f>N32+N30+N33</f>
        <v>-1356308.3928205408</v>
      </c>
      <c r="O34" s="268">
        <f t="shared" si="22"/>
        <v>-4581533.9373795521</v>
      </c>
      <c r="P34" s="268">
        <f t="shared" si="22"/>
        <v>-4572348.704802962</v>
      </c>
      <c r="Q34" s="268">
        <f t="shared" si="22"/>
        <v>-4569515.7354471078</v>
      </c>
      <c r="R34" s="268">
        <f t="shared" si="22"/>
        <v>-4573537.3675095029</v>
      </c>
      <c r="S34" s="343">
        <f t="shared" si="22"/>
        <v>-4584946.7193248384</v>
      </c>
      <c r="T34" s="268">
        <f t="shared" si="22"/>
        <v>-4604309.4322292851</v>
      </c>
      <c r="U34" s="268">
        <f t="shared" si="22"/>
        <v>-4632225.5091490364</v>
      </c>
      <c r="V34" s="268">
        <f t="shared" si="22"/>
        <v>-4669331.2541040182</v>
      </c>
      <c r="W34" s="343">
        <f t="shared" si="22"/>
        <v>-4716301.3180977926</v>
      </c>
      <c r="X34" s="343">
        <f t="shared" si="22"/>
        <v>-4773850.8571597729</v>
      </c>
      <c r="Y34" s="343">
        <f t="shared" si="22"/>
        <v>-4842737.8086165749</v>
      </c>
      <c r="Z34" s="268">
        <f t="shared" si="22"/>
        <v>-4923765.291997131</v>
      </c>
      <c r="AA34" s="268">
        <f t="shared" si="22"/>
        <v>-5017784.1413213871</v>
      </c>
      <c r="AB34" s="268">
        <f t="shared" si="22"/>
        <v>-5125695.5758861694</v>
      </c>
      <c r="AC34" s="268">
        <f t="shared" si="22"/>
        <v>0</v>
      </c>
      <c r="AD34" s="268">
        <f t="shared" si="22"/>
        <v>0</v>
      </c>
      <c r="AE34" s="268">
        <f t="shared" si="22"/>
        <v>0</v>
      </c>
      <c r="AF34" s="268">
        <f t="shared" si="22"/>
        <v>0</v>
      </c>
      <c r="AG34" s="268">
        <f t="shared" si="22"/>
        <v>0</v>
      </c>
      <c r="AH34" s="268">
        <f t="shared" si="22"/>
        <v>0</v>
      </c>
      <c r="AI34" s="343">
        <f t="shared" si="22"/>
        <v>0</v>
      </c>
      <c r="AJ34" s="268">
        <f t="shared" si="22"/>
        <v>0</v>
      </c>
      <c r="AK34" s="268">
        <f t="shared" si="22"/>
        <v>0</v>
      </c>
      <c r="AL34" s="340">
        <f t="shared" si="22"/>
        <v>0</v>
      </c>
      <c r="AM34" s="310"/>
      <c r="AN34" s="309"/>
      <c r="AQ34" s="261">
        <v>29</v>
      </c>
    </row>
    <row r="35" spans="1:45" ht="16.2" thickTop="1">
      <c r="A35" s="316" t="s">
        <v>5</v>
      </c>
      <c r="B35" s="249" t="s">
        <v>89</v>
      </c>
      <c r="C35" s="293">
        <f>1%*C6</f>
        <v>4500000</v>
      </c>
      <c r="E35" s="309"/>
      <c r="F35" s="310"/>
      <c r="G35" s="385"/>
      <c r="H35" s="374"/>
      <c r="I35" s="372"/>
      <c r="J35" s="362"/>
      <c r="K35" s="362"/>
      <c r="L35" s="362"/>
      <c r="M35" s="362"/>
      <c r="N35" s="362"/>
      <c r="O35" s="362"/>
      <c r="P35" s="362"/>
      <c r="Q35" s="362"/>
      <c r="R35" s="362"/>
      <c r="S35" s="332"/>
      <c r="T35" s="362"/>
      <c r="U35" s="362"/>
      <c r="V35" s="362"/>
      <c r="W35" s="332"/>
      <c r="X35" s="332"/>
      <c r="Y35" s="332"/>
      <c r="Z35" s="362"/>
      <c r="AA35" s="362"/>
      <c r="AB35" s="362"/>
      <c r="AC35" s="362"/>
      <c r="AD35" s="362"/>
      <c r="AE35" s="362"/>
      <c r="AF35" s="362"/>
      <c r="AG35" s="362"/>
      <c r="AH35" s="362"/>
      <c r="AI35" s="332"/>
      <c r="AJ35" s="362"/>
      <c r="AK35" s="362"/>
      <c r="AL35" s="375"/>
      <c r="AM35" s="310"/>
      <c r="AN35" s="309"/>
      <c r="AQ35" s="261">
        <v>30</v>
      </c>
    </row>
    <row r="36" spans="1:45" ht="16.2" thickBot="1">
      <c r="A36" s="316" t="s">
        <v>6</v>
      </c>
      <c r="B36" s="249" t="s">
        <v>89</v>
      </c>
      <c r="C36" s="293">
        <v>0</v>
      </c>
      <c r="D36" s="259"/>
      <c r="E36" s="309"/>
      <c r="F36" s="310"/>
      <c r="G36" s="282" t="s">
        <v>38</v>
      </c>
      <c r="H36" s="381"/>
      <c r="I36" s="263">
        <f t="shared" ref="I36:AL36" si="23">IF(I6&gt;$C$31,0,(I30)/(1+$C$28)^(I6-0.5))</f>
        <v>126136679.44111264</v>
      </c>
      <c r="J36" s="263">
        <f t="shared" si="23"/>
        <v>-2614259.8441746701</v>
      </c>
      <c r="K36" s="263">
        <f t="shared" si="23"/>
        <v>-2085759.7683018416</v>
      </c>
      <c r="L36" s="263">
        <f t="shared" si="23"/>
        <v>-1619118.3177291257</v>
      </c>
      <c r="M36" s="263">
        <f t="shared" si="23"/>
        <v>-1208169.9989662284</v>
      </c>
      <c r="N36" s="263">
        <f t="shared" si="23"/>
        <v>-847319.45693200082</v>
      </c>
      <c r="O36" s="263">
        <f t="shared" si="23"/>
        <v>-2627556.929130509</v>
      </c>
      <c r="P36" s="263">
        <f t="shared" si="23"/>
        <v>-2407315.8024302991</v>
      </c>
      <c r="Q36" s="263">
        <f t="shared" si="23"/>
        <v>-2208596.585003214</v>
      </c>
      <c r="R36" s="263">
        <f t="shared" si="23"/>
        <v>-2029321.9236834925</v>
      </c>
      <c r="S36" s="263">
        <f t="shared" si="23"/>
        <v>-1867607.0516257042</v>
      </c>
      <c r="T36" s="263">
        <f t="shared" si="23"/>
        <v>-1721742.5437529758</v>
      </c>
      <c r="U36" s="263">
        <f t="shared" si="23"/>
        <v>-1590178.5774812</v>
      </c>
      <c r="V36" s="263">
        <f t="shared" si="23"/>
        <v>-1471510.5696675417</v>
      </c>
      <c r="W36" s="263">
        <f t="shared" si="23"/>
        <v>-1364466.0716564206</v>
      </c>
      <c r="X36" s="263">
        <f t="shared" si="23"/>
        <v>-1267892.8143043683</v>
      </c>
      <c r="Y36" s="263">
        <f t="shared" si="23"/>
        <v>-1180747.8040331004</v>
      </c>
      <c r="Z36" s="263">
        <f t="shared" si="23"/>
        <v>-1102087.3793581333</v>
      </c>
      <c r="AA36" s="263">
        <f t="shared" si="23"/>
        <v>-1031058.1450322994</v>
      </c>
      <c r="AB36" s="263">
        <f t="shared" si="23"/>
        <v>-966888.70798863296</v>
      </c>
      <c r="AC36" s="263">
        <f t="shared" si="23"/>
        <v>0</v>
      </c>
      <c r="AD36" s="263">
        <f t="shared" si="23"/>
        <v>0</v>
      </c>
      <c r="AE36" s="263">
        <f t="shared" si="23"/>
        <v>0</v>
      </c>
      <c r="AF36" s="263">
        <f t="shared" si="23"/>
        <v>0</v>
      </c>
      <c r="AG36" s="263">
        <f t="shared" si="23"/>
        <v>0</v>
      </c>
      <c r="AH36" s="263">
        <f t="shared" si="23"/>
        <v>0</v>
      </c>
      <c r="AI36" s="263">
        <f t="shared" si="23"/>
        <v>0</v>
      </c>
      <c r="AJ36" s="263">
        <f t="shared" si="23"/>
        <v>0</v>
      </c>
      <c r="AK36" s="263">
        <f t="shared" si="23"/>
        <v>0</v>
      </c>
      <c r="AL36" s="341">
        <f t="shared" si="23"/>
        <v>0</v>
      </c>
      <c r="AM36" s="310"/>
      <c r="AN36" s="309"/>
    </row>
    <row r="37" spans="1:45" ht="16.8" thickTop="1" thickBot="1">
      <c r="A37" s="316" t="s">
        <v>7</v>
      </c>
      <c r="B37" s="249" t="s">
        <v>89</v>
      </c>
      <c r="C37" s="293">
        <v>0</v>
      </c>
      <c r="D37" s="259"/>
      <c r="E37" s="309"/>
      <c r="F37" s="310"/>
      <c r="G37" s="282" t="s">
        <v>39</v>
      </c>
      <c r="H37" s="381"/>
      <c r="I37" s="263">
        <f t="shared" ref="I37:AL37" si="24">IF(I6&gt;$C$31,0,(I34)/(1+$C$28)^(I6-0.5))</f>
        <v>155801998.22082347</v>
      </c>
      <c r="J37" s="263">
        <f t="shared" si="24"/>
        <v>19172442.647121262</v>
      </c>
      <c r="K37" s="263">
        <f t="shared" si="24"/>
        <v>12914723.907886485</v>
      </c>
      <c r="L37" s="263">
        <f t="shared" si="24"/>
        <v>7561385.1714769891</v>
      </c>
      <c r="M37" s="263">
        <f t="shared" si="24"/>
        <v>3005776.3377665887</v>
      </c>
      <c r="N37" s="263">
        <f t="shared" si="24"/>
        <v>-847319.45693200082</v>
      </c>
      <c r="O37" s="263">
        <f t="shared" si="24"/>
        <v>-2627556.929130509</v>
      </c>
      <c r="P37" s="263">
        <f t="shared" si="24"/>
        <v>-2407315.8024302991</v>
      </c>
      <c r="Q37" s="263">
        <f t="shared" si="24"/>
        <v>-2208596.585003214</v>
      </c>
      <c r="R37" s="263">
        <f t="shared" si="24"/>
        <v>-2029321.9236834925</v>
      </c>
      <c r="S37" s="263">
        <f t="shared" si="24"/>
        <v>-1867607.0516257042</v>
      </c>
      <c r="T37" s="263">
        <f t="shared" si="24"/>
        <v>-1721742.5437529758</v>
      </c>
      <c r="U37" s="263">
        <f t="shared" si="24"/>
        <v>-1590178.5774812</v>
      </c>
      <c r="V37" s="263">
        <f t="shared" si="24"/>
        <v>-1471510.5696675417</v>
      </c>
      <c r="W37" s="263">
        <f t="shared" si="24"/>
        <v>-1364466.0716564206</v>
      </c>
      <c r="X37" s="263">
        <f t="shared" si="24"/>
        <v>-1267892.8143043683</v>
      </c>
      <c r="Y37" s="263">
        <f t="shared" si="24"/>
        <v>-1180747.8040331004</v>
      </c>
      <c r="Z37" s="263">
        <f t="shared" si="24"/>
        <v>-1102087.3793581333</v>
      </c>
      <c r="AA37" s="263">
        <f t="shared" si="24"/>
        <v>-1031058.1450322994</v>
      </c>
      <c r="AB37" s="263">
        <f t="shared" si="24"/>
        <v>-966888.70798863296</v>
      </c>
      <c r="AC37" s="263">
        <f t="shared" si="24"/>
        <v>0</v>
      </c>
      <c r="AD37" s="263">
        <f t="shared" si="24"/>
        <v>0</v>
      </c>
      <c r="AE37" s="263">
        <f t="shared" si="24"/>
        <v>0</v>
      </c>
      <c r="AF37" s="263">
        <f t="shared" si="24"/>
        <v>0</v>
      </c>
      <c r="AG37" s="263">
        <f t="shared" si="24"/>
        <v>0</v>
      </c>
      <c r="AH37" s="263">
        <f t="shared" si="24"/>
        <v>0</v>
      </c>
      <c r="AI37" s="263">
        <f t="shared" si="24"/>
        <v>0</v>
      </c>
      <c r="AJ37" s="263">
        <f t="shared" si="24"/>
        <v>0</v>
      </c>
      <c r="AK37" s="263">
        <f t="shared" si="24"/>
        <v>0</v>
      </c>
      <c r="AL37" s="341">
        <f t="shared" si="24"/>
        <v>0</v>
      </c>
      <c r="AM37" s="310"/>
      <c r="AN37" s="309"/>
    </row>
    <row r="38" spans="1:45" ht="16.8" thickTop="1" thickBot="1">
      <c r="A38" s="474" t="s">
        <v>139</v>
      </c>
      <c r="B38" s="249" t="s">
        <v>89</v>
      </c>
      <c r="C38" s="293">
        <v>0</v>
      </c>
      <c r="D38" s="259"/>
      <c r="E38" s="309"/>
      <c r="F38" s="310"/>
      <c r="G38" s="284"/>
      <c r="H38" s="285"/>
      <c r="I38" s="285"/>
      <c r="J38" s="285"/>
      <c r="K38" s="285"/>
      <c r="L38" s="285"/>
      <c r="M38" s="285"/>
      <c r="N38" s="285"/>
      <c r="O38" s="285"/>
      <c r="P38" s="285"/>
      <c r="Q38" s="285"/>
      <c r="R38" s="285"/>
      <c r="S38" s="321"/>
      <c r="T38" s="323"/>
      <c r="U38" s="323"/>
      <c r="V38" s="323"/>
      <c r="W38" s="323"/>
      <c r="X38" s="323"/>
      <c r="Y38" s="323"/>
      <c r="Z38" s="323"/>
      <c r="AA38" s="323"/>
      <c r="AB38" s="323"/>
      <c r="AC38" s="323"/>
      <c r="AD38" s="323"/>
      <c r="AE38" s="323"/>
      <c r="AF38" s="323"/>
      <c r="AG38" s="323"/>
      <c r="AH38" s="323"/>
      <c r="AI38" s="323"/>
      <c r="AJ38" s="323"/>
      <c r="AK38" s="323"/>
      <c r="AL38" s="300"/>
      <c r="AM38" s="310"/>
      <c r="AN38" s="309"/>
      <c r="AQ38" s="261" t="s">
        <v>99</v>
      </c>
    </row>
    <row r="39" spans="1:45" ht="16.2" thickBot="1">
      <c r="A39" s="337" t="s">
        <v>35</v>
      </c>
      <c r="B39" s="401"/>
      <c r="C39" s="248"/>
      <c r="E39" s="309"/>
      <c r="F39" s="310"/>
      <c r="G39" s="329" t="s">
        <v>24</v>
      </c>
      <c r="H39" s="334"/>
      <c r="I39" s="334"/>
      <c r="J39" s="334"/>
      <c r="K39" s="334"/>
      <c r="L39" s="334"/>
      <c r="M39" s="334"/>
      <c r="N39" s="334"/>
      <c r="O39" s="334"/>
      <c r="P39" s="334"/>
      <c r="Q39" s="334"/>
      <c r="R39" s="334"/>
      <c r="S39" s="334"/>
      <c r="T39" s="334"/>
      <c r="U39" s="334"/>
      <c r="V39" s="334"/>
      <c r="W39" s="334"/>
      <c r="X39" s="334"/>
      <c r="Y39" s="334"/>
      <c r="Z39" s="334"/>
      <c r="AA39" s="334"/>
      <c r="AB39" s="334"/>
      <c r="AC39" s="334"/>
      <c r="AD39" s="334"/>
      <c r="AE39" s="334"/>
      <c r="AF39" s="334"/>
      <c r="AG39" s="334"/>
      <c r="AH39" s="334"/>
      <c r="AI39" s="334"/>
      <c r="AJ39" s="334"/>
      <c r="AK39" s="334"/>
      <c r="AL39" s="335"/>
      <c r="AM39" s="310"/>
      <c r="AN39" s="309"/>
      <c r="AQ39" s="399">
        <f>'ICAP Price&amp;Impact'!N50</f>
        <v>-1.3191E-2</v>
      </c>
    </row>
    <row r="40" spans="1:45" ht="15.6">
      <c r="A40" s="316" t="s">
        <v>90</v>
      </c>
      <c r="B40" s="245"/>
      <c r="C40" s="296">
        <f>((1+C27)/(1+C$29))-1</f>
        <v>3.0009775171065733E-2</v>
      </c>
      <c r="E40" s="309"/>
      <c r="F40" s="310"/>
      <c r="G40" s="289" t="s">
        <v>43</v>
      </c>
      <c r="H40" s="387"/>
      <c r="I40" s="358">
        <f>IF($C$32="MACRS",VLOOKUP($C$33,'Depreciation Tables'!$B$35:$AF$40,I6+1),IF($C$32="StraightLine",VLOOKUP($C$33,'Depreciation Tables'!$B$3:$AF$32,I6+1),VLOOKUP($C$33,'Depreciation Tables'!$B$43:$AF$44,I6+1)))</f>
        <v>0.2</v>
      </c>
      <c r="J40" s="358">
        <f>IF($C$32="MACRS",VLOOKUP($C$33,'Depreciation Tables'!$B$35:$AF$40,J6+1),IF($C$32="StraightLine",VLOOKUP($C$33,'Depreciation Tables'!$B$3:$AF$32,J6+1),VLOOKUP($C$33,'Depreciation Tables'!$B$43:$AF$44,J6+1)))</f>
        <v>0.32</v>
      </c>
      <c r="K40" s="358">
        <f>IF($C$32="MACRS",VLOOKUP($C$33,'Depreciation Tables'!$B$35:$AF$40,K6+1),IF($C$32="StraightLine",VLOOKUP($C$33,'Depreciation Tables'!$B$3:$AF$32,K6+1),VLOOKUP($C$33,'Depreciation Tables'!$B$43:$AF$44,K6+1)))</f>
        <v>0.192</v>
      </c>
      <c r="L40" s="358">
        <f>IF($C$32="MACRS",VLOOKUP($C$33,'Depreciation Tables'!$B$35:$AF$40,L6+1),IF($C$32="StraightLine",VLOOKUP($C$33,'Depreciation Tables'!$B$3:$AF$32,L6+1),VLOOKUP($C$33,'Depreciation Tables'!$B$43:$AF$44,L6+1)))</f>
        <v>0.1152</v>
      </c>
      <c r="M40" s="358">
        <f>IF($C$32="MACRS",VLOOKUP($C$33,'Depreciation Tables'!$B$35:$AF$40,M6+1),IF($C$32="StraightLine",VLOOKUP($C$33,'Depreciation Tables'!$B$3:$AF$32,M6+1),VLOOKUP($C$33,'Depreciation Tables'!$B$43:$AF$44,M6+1)))</f>
        <v>0.1152</v>
      </c>
      <c r="N40" s="358">
        <f>IF($C$32="MACRS",VLOOKUP($C$33,'Depreciation Tables'!$B$35:$AF$40,N6+1),IF($C$32="StraightLine",VLOOKUP($C$33,'Depreciation Tables'!$B$3:$AF$32,N6+1),VLOOKUP($C$33,'Depreciation Tables'!$B$43:$AF$44,N6+1)))</f>
        <v>5.7599999999999998E-2</v>
      </c>
      <c r="O40" s="358">
        <f>IF($C$32="MACRS",VLOOKUP($C$33,'Depreciation Tables'!$B$35:$AF$40,O6+1),IF($C$32="StraightLine",VLOOKUP($C$33,'Depreciation Tables'!$B$3:$AF$32,O6+1),VLOOKUP($C$33,'Depreciation Tables'!$B$43:$AF$44,O6+1)))</f>
        <v>0</v>
      </c>
      <c r="P40" s="358">
        <f>IF($C$32="MACRS",VLOOKUP($C$33,'Depreciation Tables'!$B$35:$AF$40,P6+1),IF($C$32="StraightLine",VLOOKUP($C$33,'Depreciation Tables'!$B$3:$AF$32,P6+1),VLOOKUP($C$33,'Depreciation Tables'!$B$43:$AF$44,P6+1)))</f>
        <v>0</v>
      </c>
      <c r="Q40" s="358">
        <f>IF($C$32="MACRS",VLOOKUP($C$33,'Depreciation Tables'!$B$35:$AF$40,Q6+1),IF($C$32="StraightLine",VLOOKUP($C$33,'Depreciation Tables'!$B$3:$AF$32,Q6+1),VLOOKUP($C$33,'Depreciation Tables'!$B$43:$AF$44,Q6+1)))</f>
        <v>0</v>
      </c>
      <c r="R40" s="358">
        <f>IF($C$32="MACRS",VLOOKUP($C$33,'Depreciation Tables'!$B$35:$AF$40,R6+1),IF($C$32="StraightLine",VLOOKUP($C$33,'Depreciation Tables'!$B$3:$AF$32,R6+1),VLOOKUP($C$33,'Depreciation Tables'!$B$43:$AF$44,R6+1)))</f>
        <v>0</v>
      </c>
      <c r="S40" s="358">
        <f>IF($C$32="MACRS",VLOOKUP($C$33,'Depreciation Tables'!$B$35:$AF$40,S6+1),IF($C$32="StraightLine",VLOOKUP($C$33,'Depreciation Tables'!$B$3:$AF$32,S6+1),VLOOKUP($C$33,'Depreciation Tables'!$B$43:$AF$44,S6+1)))</f>
        <v>0</v>
      </c>
      <c r="T40" s="358">
        <f>IF($C$32="MACRS",VLOOKUP($C$33,'Depreciation Tables'!$B$35:$AF$40,T6+1),IF($C$32="StraightLine",VLOOKUP($C$33,'Depreciation Tables'!$B$3:$AF$32,T6+1),VLOOKUP($C$33,'Depreciation Tables'!$B$43:$AF$44,T6+1)))</f>
        <v>0</v>
      </c>
      <c r="U40" s="358">
        <f>IF($C$32="MACRS",VLOOKUP($C$33,'Depreciation Tables'!$B$35:$AF$40,U6+1),IF($C$32="StraightLine",VLOOKUP($C$33,'Depreciation Tables'!$B$3:$AF$32,U6+1),VLOOKUP($C$33,'Depreciation Tables'!$B$43:$AF$44,U6+1)))</f>
        <v>0</v>
      </c>
      <c r="V40" s="358">
        <f>IF($C$32="MACRS",VLOOKUP($C$33,'Depreciation Tables'!$B$35:$AF$40,V6+1),IF($C$32="StraightLine",VLOOKUP($C$33,'Depreciation Tables'!$B$3:$AF$32,V6+1),VLOOKUP($C$33,'Depreciation Tables'!$B$43:$AF$44,V6+1)))</f>
        <v>0</v>
      </c>
      <c r="W40" s="358">
        <f>IF($C$32="MACRS",VLOOKUP($C$33,'Depreciation Tables'!$B$35:$AF$40,W6+1),IF($C$32="StraightLine",VLOOKUP($C$33,'Depreciation Tables'!$B$3:$AF$32,W6+1),VLOOKUP($C$33,'Depreciation Tables'!$B$43:$AF$44,W6+1)))</f>
        <v>0</v>
      </c>
      <c r="X40" s="358">
        <f>IF($C$32="MACRS",VLOOKUP($C$33,'Depreciation Tables'!$B$35:$AF$40,X6+1),IF($C$32="StraightLine",VLOOKUP($C$33,'Depreciation Tables'!$B$3:$AF$32,X6+1),VLOOKUP($C$33,'Depreciation Tables'!$B$43:$AF$44,X6+1)))</f>
        <v>0</v>
      </c>
      <c r="Y40" s="358">
        <f>IF($C$32="MACRS",VLOOKUP($C$33,'Depreciation Tables'!$B$35:$AF$40,Y6+1),IF($C$32="StraightLine",VLOOKUP($C$33,'Depreciation Tables'!$B$3:$AF$32,Y6+1),VLOOKUP($C$33,'Depreciation Tables'!$B$43:$AF$44,Y6+1)))</f>
        <v>0</v>
      </c>
      <c r="Z40" s="358">
        <f>IF($C$32="MACRS",VLOOKUP($C$33,'Depreciation Tables'!$B$35:$AF$40,Z6+1),IF($C$32="StraightLine",VLOOKUP($C$33,'Depreciation Tables'!$B$3:$AF$32,Z6+1),VLOOKUP($C$33,'Depreciation Tables'!$B$43:$AF$44,Z6+1)))</f>
        <v>0</v>
      </c>
      <c r="AA40" s="358">
        <f>IF($C$32="MACRS",VLOOKUP($C$33,'Depreciation Tables'!$B$35:$AF$40,AA6+1),IF($C$32="StraightLine",VLOOKUP($C$33,'Depreciation Tables'!$B$3:$AF$32,AA6+1),VLOOKUP($C$33,'Depreciation Tables'!$B$43:$AF$44,AA6+1)))</f>
        <v>0</v>
      </c>
      <c r="AB40" s="358">
        <f>IF($C$32="MACRS",VLOOKUP($C$33,'Depreciation Tables'!$B$35:$AF$40,AB6+1),IF($C$32="StraightLine",VLOOKUP($C$33,'Depreciation Tables'!$B$3:$AF$32,AB6+1),VLOOKUP($C$33,'Depreciation Tables'!$B$43:$AF$44,AB6+1)))</f>
        <v>0</v>
      </c>
      <c r="AC40" s="358">
        <f>IF($C$32="MACRS",VLOOKUP($C$33,'Depreciation Tables'!$B$35:$AF$40,AC6+1),IF($C$32="StraightLine",VLOOKUP($C$33,'Depreciation Tables'!$B$3:$AF$32,AC6+1),VLOOKUP($C$33,'Depreciation Tables'!$B$43:$AF$44,AC6+1)))</f>
        <v>0</v>
      </c>
      <c r="AD40" s="358">
        <f>IF($C$32="MACRS",VLOOKUP($C$33,'Depreciation Tables'!$B$35:$AF$40,AD6+1),IF($C$32="StraightLine",VLOOKUP($C$33,'Depreciation Tables'!$B$3:$AF$32,AD6+1),VLOOKUP($C$33,'Depreciation Tables'!$B$43:$AF$44,AD6+1)))</f>
        <v>0</v>
      </c>
      <c r="AE40" s="358">
        <f>IF($C$32="MACRS",VLOOKUP($C$33,'Depreciation Tables'!$B$35:$AF$40,AE6+1),IF($C$32="StraightLine",VLOOKUP($C$33,'Depreciation Tables'!$B$3:$AF$32,AE6+1),VLOOKUP($C$33,'Depreciation Tables'!$B$43:$AF$44,AE6+1)))</f>
        <v>0</v>
      </c>
      <c r="AF40" s="358">
        <f>IF($C$32="MACRS",VLOOKUP($C$33,'Depreciation Tables'!$B$35:$AF$40,AF6+1),IF($C$32="StraightLine",VLOOKUP($C$33,'Depreciation Tables'!$B$3:$AF$32,AF6+1),VLOOKUP($C$33,'Depreciation Tables'!$B$43:$AF$44,AF6+1)))</f>
        <v>0</v>
      </c>
      <c r="AG40" s="358">
        <f>IF($C$32="MACRS",VLOOKUP($C$33,'Depreciation Tables'!$B$35:$AF$40,AG6+1),IF($C$32="StraightLine",VLOOKUP($C$33,'Depreciation Tables'!$B$3:$AF$32,AG6+1),VLOOKUP($C$33,'Depreciation Tables'!$B$43:$AF$44,AG6+1)))</f>
        <v>0</v>
      </c>
      <c r="AH40" s="358">
        <f>IF($C$32="MACRS",VLOOKUP($C$33,'Depreciation Tables'!$B$35:$AF$40,AH6+1),IF($C$32="StraightLine",VLOOKUP($C$33,'Depreciation Tables'!$B$3:$AF$32,AH6+1),VLOOKUP($C$33,'Depreciation Tables'!$B$43:$AF$44,AH6+1)))</f>
        <v>0</v>
      </c>
      <c r="AI40" s="358">
        <f>IF($C$32="MACRS",VLOOKUP($C$33,'Depreciation Tables'!$B$35:$AF$40,AI6+1),IF($C$32="StraightLine",VLOOKUP($C$33,'Depreciation Tables'!$B$3:$AF$32,AI6+1),VLOOKUP($C$33,'Depreciation Tables'!$B$43:$AF$44,AI6+1)))</f>
        <v>0</v>
      </c>
      <c r="AJ40" s="358">
        <f>IF($C$32="MACRS",VLOOKUP($C$33,'Depreciation Tables'!$B$35:$AF$40,AJ6+1),IF($C$32="StraightLine",VLOOKUP($C$33,'Depreciation Tables'!$B$3:$AF$32,AJ6+1),VLOOKUP($C$33,'Depreciation Tables'!$B$43:$AF$44,AJ6+1)))</f>
        <v>0</v>
      </c>
      <c r="AK40" s="358">
        <f>IF($C$32="MACRS",VLOOKUP($C$33,'Depreciation Tables'!$B$35:$AF$40,AK6+1),IF($C$32="StraightLine",VLOOKUP($C$33,'Depreciation Tables'!$B$3:$AF$32,AK6+1),VLOOKUP($C$33,'Depreciation Tables'!$B$43:$AF$44,AK6+1)))</f>
        <v>0</v>
      </c>
      <c r="AL40" s="359">
        <f>IF($C$32="MACRS",VLOOKUP($C$33,'Depreciation Tables'!$B$35:$AF$40,AL6+1),IF($C$32="StraightLine",VLOOKUP($C$33,'Depreciation Tables'!$B$3:$AF$32,AL6+1),VLOOKUP($C$33,'Depreciation Tables'!$B$43:$AF$44,AL6+1)))</f>
        <v>0</v>
      </c>
      <c r="AM40" s="310"/>
      <c r="AN40" s="309"/>
    </row>
    <row r="41" spans="1:45" ht="15.6">
      <c r="A41" s="316" t="s">
        <v>91</v>
      </c>
      <c r="B41" s="245"/>
      <c r="C41" s="296">
        <f>((1+C28)/(1+C$29))-1</f>
        <v>6.4809384164222994E-2</v>
      </c>
      <c r="D41" s="252"/>
      <c r="E41" s="309"/>
      <c r="F41" s="310"/>
      <c r="G41" s="383" t="s">
        <v>30</v>
      </c>
      <c r="H41" s="368"/>
      <c r="I41" s="377">
        <f>C6</f>
        <v>450000000</v>
      </c>
      <c r="J41" s="377">
        <f>I43</f>
        <v>360000000</v>
      </c>
      <c r="K41" s="377">
        <f t="shared" ref="K41:R41" si="25">J43</f>
        <v>216000000</v>
      </c>
      <c r="L41" s="377">
        <f t="shared" si="25"/>
        <v>129600000</v>
      </c>
      <c r="M41" s="377">
        <f t="shared" si="25"/>
        <v>77760000</v>
      </c>
      <c r="N41" s="377">
        <f t="shared" si="25"/>
        <v>25920000</v>
      </c>
      <c r="O41" s="377">
        <f t="shared" si="25"/>
        <v>0</v>
      </c>
      <c r="P41" s="377">
        <f t="shared" si="25"/>
        <v>0</v>
      </c>
      <c r="Q41" s="377">
        <f t="shared" si="25"/>
        <v>0</v>
      </c>
      <c r="R41" s="377">
        <f t="shared" si="25"/>
        <v>0</v>
      </c>
      <c r="S41" s="377">
        <f t="shared" ref="S41:Y41" si="26">R43</f>
        <v>0</v>
      </c>
      <c r="T41" s="377">
        <f t="shared" si="26"/>
        <v>0</v>
      </c>
      <c r="U41" s="377">
        <f t="shared" si="26"/>
        <v>0</v>
      </c>
      <c r="V41" s="377">
        <f t="shared" si="26"/>
        <v>0</v>
      </c>
      <c r="W41" s="377">
        <f t="shared" si="26"/>
        <v>0</v>
      </c>
      <c r="X41" s="377">
        <f t="shared" si="26"/>
        <v>0</v>
      </c>
      <c r="Y41" s="377">
        <f t="shared" si="26"/>
        <v>0</v>
      </c>
      <c r="Z41" s="377">
        <f t="shared" ref="Z41:AG41" si="27">Y43</f>
        <v>0</v>
      </c>
      <c r="AA41" s="377">
        <f t="shared" si="27"/>
        <v>0</v>
      </c>
      <c r="AB41" s="377">
        <f t="shared" si="27"/>
        <v>0</v>
      </c>
      <c r="AC41" s="377">
        <f t="shared" si="27"/>
        <v>0</v>
      </c>
      <c r="AD41" s="377">
        <f t="shared" si="27"/>
        <v>0</v>
      </c>
      <c r="AE41" s="377">
        <f t="shared" si="27"/>
        <v>0</v>
      </c>
      <c r="AF41" s="377">
        <f t="shared" si="27"/>
        <v>0</v>
      </c>
      <c r="AG41" s="377">
        <f t="shared" si="27"/>
        <v>0</v>
      </c>
      <c r="AH41" s="377">
        <f>AG43</f>
        <v>0</v>
      </c>
      <c r="AI41" s="377">
        <f>AH43</f>
        <v>0</v>
      </c>
      <c r="AJ41" s="377">
        <f>AI43</f>
        <v>0</v>
      </c>
      <c r="AK41" s="377">
        <f>AJ43</f>
        <v>0</v>
      </c>
      <c r="AL41" s="389">
        <f>AK43</f>
        <v>0</v>
      </c>
      <c r="AM41" s="310"/>
      <c r="AN41" s="309"/>
    </row>
    <row r="42" spans="1:45" ht="15.6">
      <c r="A42" s="316" t="s">
        <v>92</v>
      </c>
      <c r="B42" s="245"/>
      <c r="C42" s="296">
        <f>C25*C40+C26*C41</f>
        <v>4.7409579667644364E-2</v>
      </c>
      <c r="E42" s="309"/>
      <c r="F42" s="310"/>
      <c r="G42" s="383" t="s">
        <v>29</v>
      </c>
      <c r="H42" s="368"/>
      <c r="I42" s="372">
        <f>-MIN($I$41*I40,I41)</f>
        <v>-90000000</v>
      </c>
      <c r="J42" s="372">
        <f t="shared" ref="J42:AL42" si="28">-MIN($I$41*J40,J41)</f>
        <v>-144000000</v>
      </c>
      <c r="K42" s="372">
        <f t="shared" si="28"/>
        <v>-86400000</v>
      </c>
      <c r="L42" s="372">
        <f t="shared" si="28"/>
        <v>-51840000</v>
      </c>
      <c r="M42" s="372">
        <f t="shared" si="28"/>
        <v>-51840000</v>
      </c>
      <c r="N42" s="372">
        <f t="shared" si="28"/>
        <v>-25920000</v>
      </c>
      <c r="O42" s="372">
        <f t="shared" si="28"/>
        <v>0</v>
      </c>
      <c r="P42" s="372">
        <f t="shared" si="28"/>
        <v>0</v>
      </c>
      <c r="Q42" s="372">
        <f t="shared" si="28"/>
        <v>0</v>
      </c>
      <c r="R42" s="274">
        <f t="shared" si="28"/>
        <v>0</v>
      </c>
      <c r="S42" s="274">
        <f t="shared" si="28"/>
        <v>0</v>
      </c>
      <c r="T42" s="274">
        <f t="shared" si="28"/>
        <v>0</v>
      </c>
      <c r="U42" s="274">
        <f t="shared" si="28"/>
        <v>0</v>
      </c>
      <c r="V42" s="274">
        <f t="shared" si="28"/>
        <v>0</v>
      </c>
      <c r="W42" s="274">
        <f t="shared" si="28"/>
        <v>0</v>
      </c>
      <c r="X42" s="274">
        <f t="shared" si="28"/>
        <v>0</v>
      </c>
      <c r="Y42" s="274">
        <f t="shared" si="28"/>
        <v>0</v>
      </c>
      <c r="Z42" s="372">
        <f t="shared" si="28"/>
        <v>0</v>
      </c>
      <c r="AA42" s="372">
        <f t="shared" si="28"/>
        <v>0</v>
      </c>
      <c r="AB42" s="372">
        <f t="shared" si="28"/>
        <v>0</v>
      </c>
      <c r="AC42" s="372">
        <f t="shared" si="28"/>
        <v>0</v>
      </c>
      <c r="AD42" s="372">
        <f t="shared" si="28"/>
        <v>0</v>
      </c>
      <c r="AE42" s="372">
        <f t="shared" si="28"/>
        <v>0</v>
      </c>
      <c r="AF42" s="372">
        <f t="shared" si="28"/>
        <v>0</v>
      </c>
      <c r="AG42" s="274">
        <f t="shared" si="28"/>
        <v>0</v>
      </c>
      <c r="AH42" s="274">
        <f t="shared" si="28"/>
        <v>0</v>
      </c>
      <c r="AI42" s="274">
        <f t="shared" si="28"/>
        <v>0</v>
      </c>
      <c r="AJ42" s="274">
        <f t="shared" si="28"/>
        <v>0</v>
      </c>
      <c r="AK42" s="274">
        <f t="shared" si="28"/>
        <v>0</v>
      </c>
      <c r="AL42" s="356">
        <f t="shared" si="28"/>
        <v>0</v>
      </c>
      <c r="AM42" s="310"/>
      <c r="AN42" s="309"/>
    </row>
    <row r="43" spans="1:45" ht="16.2" thickBot="1">
      <c r="A43" s="316" t="s">
        <v>36</v>
      </c>
      <c r="B43" s="249"/>
      <c r="C43" s="362">
        <f>PMT(C27,C31,(C25*C6))</f>
        <v>-18625300.71255457</v>
      </c>
      <c r="D43" s="252"/>
      <c r="E43" s="309"/>
      <c r="F43" s="310"/>
      <c r="G43" s="390" t="s">
        <v>34</v>
      </c>
      <c r="H43" s="248"/>
      <c r="I43" s="271">
        <f>SUM(I41:I42)</f>
        <v>360000000</v>
      </c>
      <c r="J43" s="271">
        <f t="shared" ref="J43:R43" si="29">SUM(J41:J42)</f>
        <v>216000000</v>
      </c>
      <c r="K43" s="271">
        <f t="shared" si="29"/>
        <v>129600000</v>
      </c>
      <c r="L43" s="271">
        <f t="shared" si="29"/>
        <v>77760000</v>
      </c>
      <c r="M43" s="271">
        <f t="shared" si="29"/>
        <v>25920000</v>
      </c>
      <c r="N43" s="271">
        <f>SUM(N41:N42)</f>
        <v>0</v>
      </c>
      <c r="O43" s="271">
        <f t="shared" si="29"/>
        <v>0</v>
      </c>
      <c r="P43" s="271">
        <f t="shared" si="29"/>
        <v>0</v>
      </c>
      <c r="Q43" s="271">
        <f t="shared" si="29"/>
        <v>0</v>
      </c>
      <c r="R43" s="273">
        <f t="shared" si="29"/>
        <v>0</v>
      </c>
      <c r="S43" s="273">
        <f>SUM(S41:S42)</f>
        <v>0</v>
      </c>
      <c r="T43" s="273">
        <f t="shared" ref="T43:AB43" si="30">SUM(T41:T42)</f>
        <v>0</v>
      </c>
      <c r="U43" s="273">
        <f t="shared" si="30"/>
        <v>0</v>
      </c>
      <c r="V43" s="273">
        <f t="shared" si="30"/>
        <v>0</v>
      </c>
      <c r="W43" s="273">
        <f t="shared" si="30"/>
        <v>0</v>
      </c>
      <c r="X43" s="273">
        <f t="shared" si="30"/>
        <v>0</v>
      </c>
      <c r="Y43" s="273">
        <f t="shared" si="30"/>
        <v>0</v>
      </c>
      <c r="Z43" s="271">
        <f t="shared" si="30"/>
        <v>0</v>
      </c>
      <c r="AA43" s="271">
        <f t="shared" si="30"/>
        <v>0</v>
      </c>
      <c r="AB43" s="271">
        <f t="shared" si="30"/>
        <v>0</v>
      </c>
      <c r="AC43" s="271">
        <f t="shared" ref="AC43:AL43" si="31">SUM(AC41:AC42)</f>
        <v>0</v>
      </c>
      <c r="AD43" s="271">
        <f t="shared" si="31"/>
        <v>0</v>
      </c>
      <c r="AE43" s="271">
        <f t="shared" si="31"/>
        <v>0</v>
      </c>
      <c r="AF43" s="271">
        <f t="shared" si="31"/>
        <v>0</v>
      </c>
      <c r="AG43" s="273">
        <f t="shared" si="31"/>
        <v>0</v>
      </c>
      <c r="AH43" s="273">
        <f t="shared" si="31"/>
        <v>0</v>
      </c>
      <c r="AI43" s="273">
        <f t="shared" si="31"/>
        <v>0</v>
      </c>
      <c r="AJ43" s="273">
        <f t="shared" si="31"/>
        <v>0</v>
      </c>
      <c r="AK43" s="273">
        <f t="shared" si="31"/>
        <v>0</v>
      </c>
      <c r="AL43" s="355">
        <f t="shared" si="31"/>
        <v>0</v>
      </c>
      <c r="AM43" s="310"/>
      <c r="AN43" s="309"/>
    </row>
    <row r="44" spans="1:45" ht="16.8" thickTop="1" thickBot="1">
      <c r="A44" s="249"/>
      <c r="B44" s="249"/>
      <c r="C44" s="137"/>
      <c r="E44" s="309"/>
      <c r="F44" s="310"/>
      <c r="G44" s="284"/>
      <c r="H44" s="285"/>
      <c r="I44" s="378"/>
      <c r="J44" s="285"/>
      <c r="K44" s="285"/>
      <c r="L44" s="285"/>
      <c r="M44" s="285"/>
      <c r="N44" s="285"/>
      <c r="O44" s="285"/>
      <c r="P44" s="285"/>
      <c r="Q44" s="285"/>
      <c r="R44" s="285"/>
      <c r="S44" s="321"/>
      <c r="T44" s="323"/>
      <c r="U44" s="323"/>
      <c r="V44" s="323"/>
      <c r="W44" s="323"/>
      <c r="X44" s="323"/>
      <c r="Y44" s="323"/>
      <c r="Z44" s="323"/>
      <c r="AA44" s="323"/>
      <c r="AB44" s="323"/>
      <c r="AC44" s="323"/>
      <c r="AD44" s="323"/>
      <c r="AE44" s="323"/>
      <c r="AF44" s="323"/>
      <c r="AG44" s="323"/>
      <c r="AH44" s="323"/>
      <c r="AI44" s="323"/>
      <c r="AJ44" s="323"/>
      <c r="AK44" s="323"/>
      <c r="AL44" s="300"/>
      <c r="AM44" s="310"/>
      <c r="AN44" s="309"/>
      <c r="AQ44" s="596" t="s">
        <v>150</v>
      </c>
      <c r="AR44" s="595"/>
      <c r="AS44" s="597">
        <v>0.35</v>
      </c>
    </row>
    <row r="45" spans="1:45" ht="16.2" thickBot="1">
      <c r="A45" s="361"/>
      <c r="B45" s="361"/>
      <c r="C45" s="361"/>
      <c r="E45" s="309"/>
      <c r="F45" s="310"/>
      <c r="G45" s="329" t="s">
        <v>31</v>
      </c>
      <c r="H45" s="334"/>
      <c r="I45" s="334"/>
      <c r="J45" s="334"/>
      <c r="K45" s="334"/>
      <c r="L45" s="334"/>
      <c r="M45" s="334"/>
      <c r="N45" s="334"/>
      <c r="O45" s="334"/>
      <c r="P45" s="334"/>
      <c r="Q45" s="334"/>
      <c r="R45" s="334"/>
      <c r="S45" s="334"/>
      <c r="T45" s="334"/>
      <c r="U45" s="334"/>
      <c r="V45" s="334"/>
      <c r="W45" s="334"/>
      <c r="X45" s="334"/>
      <c r="Y45" s="334"/>
      <c r="Z45" s="334"/>
      <c r="AA45" s="334"/>
      <c r="AB45" s="334"/>
      <c r="AC45" s="334"/>
      <c r="AD45" s="334"/>
      <c r="AE45" s="334"/>
      <c r="AF45" s="334"/>
      <c r="AG45" s="334"/>
      <c r="AH45" s="334"/>
      <c r="AI45" s="334"/>
      <c r="AJ45" s="334"/>
      <c r="AK45" s="334"/>
      <c r="AL45" s="335"/>
      <c r="AM45" s="310"/>
      <c r="AN45" s="309"/>
      <c r="AQ45" s="596" t="s">
        <v>151</v>
      </c>
      <c r="AR45" s="595"/>
      <c r="AS45" s="597">
        <v>7.0999999999999994E-2</v>
      </c>
    </row>
    <row r="46" spans="1:45" ht="18.600000000000001" thickBot="1">
      <c r="A46" s="404" t="s">
        <v>42</v>
      </c>
      <c r="B46" s="405"/>
      <c r="C46" s="406"/>
      <c r="E46" s="309"/>
      <c r="F46" s="310"/>
      <c r="G46" s="386" t="s">
        <v>30</v>
      </c>
      <c r="H46" s="387"/>
      <c r="I46" s="287">
        <f>IF(I6&gt;C31,0,C25*C6)</f>
        <v>225000000</v>
      </c>
      <c r="J46" s="288">
        <f t="shared" ref="J46:AL46" si="32">IF(J6&gt;$C$31,0,I49)</f>
        <v>218457199.28744543</v>
      </c>
      <c r="K46" s="288">
        <f t="shared" si="32"/>
        <v>211563050.17662668</v>
      </c>
      <c r="L46" s="288">
        <f t="shared" si="32"/>
        <v>204298685.25855696</v>
      </c>
      <c r="M46" s="288">
        <f t="shared" si="32"/>
        <v>196644223.9443869</v>
      </c>
      <c r="N46" s="288">
        <f t="shared" si="32"/>
        <v>188578718.05764592</v>
      </c>
      <c r="O46" s="288">
        <f t="shared" si="32"/>
        <v>180080094.50478694</v>
      </c>
      <c r="P46" s="288">
        <f t="shared" si="32"/>
        <v>171125094.86713943</v>
      </c>
      <c r="Q46" s="288">
        <f t="shared" si="32"/>
        <v>161689211.74895024</v>
      </c>
      <c r="R46" s="288">
        <f t="shared" si="32"/>
        <v>151746621.70731431</v>
      </c>
      <c r="S46" s="288">
        <f t="shared" si="32"/>
        <v>141270114.58044252</v>
      </c>
      <c r="T46" s="288">
        <f t="shared" si="32"/>
        <v>130231019.02085771</v>
      </c>
      <c r="U46" s="288">
        <f t="shared" si="32"/>
        <v>118599124.0297232</v>
      </c>
      <c r="V46" s="288">
        <f t="shared" si="32"/>
        <v>106342596.27756476</v>
      </c>
      <c r="W46" s="288">
        <f t="shared" si="32"/>
        <v>93427892.985115424</v>
      </c>
      <c r="X46" s="288">
        <f t="shared" si="32"/>
        <v>79819670.125861555</v>
      </c>
      <c r="Y46" s="288">
        <f t="shared" si="32"/>
        <v>65480685.699065752</v>
      </c>
      <c r="Z46" s="288">
        <f t="shared" si="32"/>
        <v>50371697.808551013</v>
      </c>
      <c r="AA46" s="288">
        <f t="shared" si="32"/>
        <v>34451357.268315628</v>
      </c>
      <c r="AB46" s="288">
        <f t="shared" si="32"/>
        <v>17676094.441069607</v>
      </c>
      <c r="AC46" s="288">
        <f t="shared" si="32"/>
        <v>0</v>
      </c>
      <c r="AD46" s="288">
        <f t="shared" si="32"/>
        <v>0</v>
      </c>
      <c r="AE46" s="288">
        <f t="shared" si="32"/>
        <v>0</v>
      </c>
      <c r="AF46" s="288">
        <f t="shared" si="32"/>
        <v>0</v>
      </c>
      <c r="AG46" s="288">
        <f t="shared" si="32"/>
        <v>0</v>
      </c>
      <c r="AH46" s="288">
        <f t="shared" si="32"/>
        <v>0</v>
      </c>
      <c r="AI46" s="288">
        <f t="shared" si="32"/>
        <v>0</v>
      </c>
      <c r="AJ46" s="288">
        <f t="shared" si="32"/>
        <v>0</v>
      </c>
      <c r="AK46" s="288">
        <f t="shared" si="32"/>
        <v>0</v>
      </c>
      <c r="AL46" s="354">
        <f t="shared" si="32"/>
        <v>0</v>
      </c>
      <c r="AM46" s="310"/>
      <c r="AN46" s="309"/>
      <c r="AQ46" s="596" t="s">
        <v>152</v>
      </c>
      <c r="AR46" s="595"/>
      <c r="AS46" s="598">
        <v>8.8499999999999995E-2</v>
      </c>
    </row>
    <row r="47" spans="1:45" ht="18">
      <c r="A47" s="407" t="s">
        <v>37</v>
      </c>
      <c r="B47" s="408"/>
      <c r="C47" s="413">
        <f ca="1">SUM(I36:OFFSET($H$36,0,$C$31))-($C$6*C26)</f>
        <v>-130074918.85013911</v>
      </c>
      <c r="E47" s="309"/>
      <c r="F47" s="310"/>
      <c r="G47" s="382" t="s">
        <v>32</v>
      </c>
      <c r="H47" s="369"/>
      <c r="I47" s="252">
        <f t="shared" ref="I47:AL47" si="33">IF(I6&gt;$C$31,0,-I46*$C$27)</f>
        <v>-12082500</v>
      </c>
      <c r="J47" s="252">
        <f t="shared" si="33"/>
        <v>-11731151.601735819</v>
      </c>
      <c r="K47" s="252">
        <f t="shared" si="33"/>
        <v>-11360935.794484852</v>
      </c>
      <c r="L47" s="252">
        <f t="shared" si="33"/>
        <v>-10970839.398384508</v>
      </c>
      <c r="M47" s="252">
        <f t="shared" si="33"/>
        <v>-10559794.825813577</v>
      </c>
      <c r="N47" s="252">
        <f t="shared" si="33"/>
        <v>-10126677.159695586</v>
      </c>
      <c r="O47" s="252">
        <f t="shared" si="33"/>
        <v>-9670301.0749070588</v>
      </c>
      <c r="P47" s="252">
        <f t="shared" si="33"/>
        <v>-9189417.5943653863</v>
      </c>
      <c r="Q47" s="252">
        <f t="shared" si="33"/>
        <v>-8682710.6709186286</v>
      </c>
      <c r="R47" s="252">
        <f t="shared" si="33"/>
        <v>-8148793.5856827786</v>
      </c>
      <c r="S47" s="252">
        <f t="shared" si="33"/>
        <v>-7586205.1529697627</v>
      </c>
      <c r="T47" s="252">
        <f t="shared" si="33"/>
        <v>-6993405.721420059</v>
      </c>
      <c r="U47" s="252">
        <f t="shared" si="33"/>
        <v>-6368772.9603961352</v>
      </c>
      <c r="V47" s="252">
        <f t="shared" si="33"/>
        <v>-5710597.4201052273</v>
      </c>
      <c r="W47" s="252">
        <f t="shared" si="33"/>
        <v>-5017077.8533006981</v>
      </c>
      <c r="X47" s="252">
        <f t="shared" si="33"/>
        <v>-4286316.2857587654</v>
      </c>
      <c r="Y47" s="252">
        <f t="shared" si="33"/>
        <v>-3516312.822039831</v>
      </c>
      <c r="Z47" s="252">
        <f t="shared" si="33"/>
        <v>-2704960.1723191892</v>
      </c>
      <c r="AA47" s="252">
        <f t="shared" si="33"/>
        <v>-1850037.885308549</v>
      </c>
      <c r="AB47" s="252">
        <f t="shared" si="33"/>
        <v>-949206.27148543787</v>
      </c>
      <c r="AC47" s="252">
        <f t="shared" si="33"/>
        <v>0</v>
      </c>
      <c r="AD47" s="252">
        <f t="shared" si="33"/>
        <v>0</v>
      </c>
      <c r="AE47" s="252">
        <f t="shared" si="33"/>
        <v>0</v>
      </c>
      <c r="AF47" s="252">
        <f t="shared" si="33"/>
        <v>0</v>
      </c>
      <c r="AG47" s="252">
        <f t="shared" si="33"/>
        <v>0</v>
      </c>
      <c r="AH47" s="252">
        <f t="shared" si="33"/>
        <v>0</v>
      </c>
      <c r="AI47" s="252">
        <f t="shared" si="33"/>
        <v>0</v>
      </c>
      <c r="AJ47" s="252">
        <f t="shared" si="33"/>
        <v>0</v>
      </c>
      <c r="AK47" s="252">
        <f t="shared" si="33"/>
        <v>0</v>
      </c>
      <c r="AL47" s="307">
        <f t="shared" si="33"/>
        <v>0</v>
      </c>
      <c r="AM47" s="310"/>
      <c r="AN47" s="309"/>
      <c r="AQ47" s="596" t="s">
        <v>14</v>
      </c>
      <c r="AR47" s="595"/>
      <c r="AS47" s="597">
        <f>AS44+(1-AS44)*(AS45+AS46)</f>
        <v>0.45367499999999994</v>
      </c>
    </row>
    <row r="48" spans="1:45" ht="18.600000000000001" thickBot="1">
      <c r="A48" s="409" t="s">
        <v>105</v>
      </c>
      <c r="B48" s="402"/>
      <c r="C48" s="410"/>
      <c r="E48" s="309"/>
      <c r="F48" s="310"/>
      <c r="G48" s="382" t="s">
        <v>33</v>
      </c>
      <c r="H48" s="369"/>
      <c r="I48" s="252">
        <f t="shared" ref="I48:AL48" si="34">IF(I6&gt;$C$31,0,$C$43-I47)</f>
        <v>-6542800.7125545703</v>
      </c>
      <c r="J48" s="252">
        <f t="shared" si="34"/>
        <v>-6894149.1108187512</v>
      </c>
      <c r="K48" s="252">
        <f t="shared" si="34"/>
        <v>-7264364.9180697184</v>
      </c>
      <c r="L48" s="252">
        <f t="shared" si="34"/>
        <v>-7654461.3141700625</v>
      </c>
      <c r="M48" s="252">
        <f t="shared" si="34"/>
        <v>-8065505.8867409937</v>
      </c>
      <c r="N48" s="252">
        <f t="shared" si="34"/>
        <v>-8498623.5528589841</v>
      </c>
      <c r="O48" s="252">
        <f t="shared" si="34"/>
        <v>-8954999.6376475114</v>
      </c>
      <c r="P48" s="252">
        <f t="shared" si="34"/>
        <v>-9435883.118189184</v>
      </c>
      <c r="Q48" s="252">
        <f t="shared" si="34"/>
        <v>-9942590.0416359417</v>
      </c>
      <c r="R48" s="252">
        <f t="shared" si="34"/>
        <v>-10476507.126871791</v>
      </c>
      <c r="S48" s="252">
        <f t="shared" si="34"/>
        <v>-11039095.559584808</v>
      </c>
      <c r="T48" s="252">
        <f t="shared" si="34"/>
        <v>-11631894.991134511</v>
      </c>
      <c r="U48" s="252">
        <f t="shared" si="34"/>
        <v>-12256527.752158435</v>
      </c>
      <c r="V48" s="252">
        <f t="shared" si="34"/>
        <v>-12914703.292449344</v>
      </c>
      <c r="W48" s="252">
        <f t="shared" si="34"/>
        <v>-13608222.859253872</v>
      </c>
      <c r="X48" s="252">
        <f t="shared" si="34"/>
        <v>-14338984.426795805</v>
      </c>
      <c r="Y48" s="252">
        <f t="shared" si="34"/>
        <v>-15108987.890514739</v>
      </c>
      <c r="Z48" s="252">
        <f t="shared" si="34"/>
        <v>-15920340.540235382</v>
      </c>
      <c r="AA48" s="252">
        <f t="shared" si="34"/>
        <v>-16775262.827246021</v>
      </c>
      <c r="AB48" s="252">
        <f t="shared" si="34"/>
        <v>-17676094.441069134</v>
      </c>
      <c r="AC48" s="252">
        <f t="shared" si="34"/>
        <v>0</v>
      </c>
      <c r="AD48" s="252">
        <f t="shared" si="34"/>
        <v>0</v>
      </c>
      <c r="AE48" s="252">
        <f t="shared" si="34"/>
        <v>0</v>
      </c>
      <c r="AF48" s="252">
        <f t="shared" si="34"/>
        <v>0</v>
      </c>
      <c r="AG48" s="252">
        <f t="shared" si="34"/>
        <v>0</v>
      </c>
      <c r="AH48" s="252">
        <f t="shared" si="34"/>
        <v>0</v>
      </c>
      <c r="AI48" s="252">
        <f t="shared" si="34"/>
        <v>0</v>
      </c>
      <c r="AJ48" s="252">
        <f t="shared" si="34"/>
        <v>0</v>
      </c>
      <c r="AK48" s="252">
        <f t="shared" si="34"/>
        <v>0</v>
      </c>
      <c r="AL48" s="307">
        <f t="shared" si="34"/>
        <v>0</v>
      </c>
      <c r="AM48" s="310"/>
      <c r="AN48" s="309"/>
      <c r="AQ48" s="592"/>
      <c r="AR48" s="592"/>
      <c r="AS48" s="597">
        <f>(1-AS44)*(AS45+AS46)</f>
        <v>0.10367499999999999</v>
      </c>
    </row>
    <row r="49" spans="1:40" ht="18.600000000000001" thickBot="1">
      <c r="A49" s="411" t="s">
        <v>104</v>
      </c>
      <c r="B49" s="412"/>
      <c r="C49" s="414">
        <f ca="1">SUM(I37:OFFSET($H$37,0,$C$31))-($C$6*C26)</f>
        <v>-50227964.077005118</v>
      </c>
      <c r="E49" s="309"/>
      <c r="F49" s="310"/>
      <c r="G49" s="388" t="s">
        <v>34</v>
      </c>
      <c r="H49" s="364"/>
      <c r="I49" s="271">
        <f>I46+I48</f>
        <v>218457199.28744543</v>
      </c>
      <c r="J49" s="272">
        <f>J46+J48</f>
        <v>211563050.17662668</v>
      </c>
      <c r="K49" s="272">
        <f t="shared" ref="K49:R49" si="35">K46+K48</f>
        <v>204298685.25855696</v>
      </c>
      <c r="L49" s="272">
        <f t="shared" si="35"/>
        <v>196644223.9443869</v>
      </c>
      <c r="M49" s="272">
        <f t="shared" si="35"/>
        <v>188578718.05764592</v>
      </c>
      <c r="N49" s="272">
        <f t="shared" si="35"/>
        <v>180080094.50478694</v>
      </c>
      <c r="O49" s="272">
        <f t="shared" si="35"/>
        <v>171125094.86713943</v>
      </c>
      <c r="P49" s="272">
        <f t="shared" si="35"/>
        <v>161689211.74895024</v>
      </c>
      <c r="Q49" s="272">
        <f t="shared" si="35"/>
        <v>151746621.70731431</v>
      </c>
      <c r="R49" s="272">
        <f t="shared" si="35"/>
        <v>141270114.58044252</v>
      </c>
      <c r="S49" s="272">
        <f t="shared" ref="S49:Y49" si="36">S46+S48</f>
        <v>130231019.02085771</v>
      </c>
      <c r="T49" s="272">
        <f t="shared" si="36"/>
        <v>118599124.0297232</v>
      </c>
      <c r="U49" s="272">
        <f t="shared" si="36"/>
        <v>106342596.27756476</v>
      </c>
      <c r="V49" s="272">
        <f t="shared" si="36"/>
        <v>93427892.985115424</v>
      </c>
      <c r="W49" s="272">
        <f t="shared" si="36"/>
        <v>79819670.125861555</v>
      </c>
      <c r="X49" s="272">
        <f t="shared" si="36"/>
        <v>65480685.699065752</v>
      </c>
      <c r="Y49" s="272">
        <f t="shared" si="36"/>
        <v>50371697.808551013</v>
      </c>
      <c r="Z49" s="272">
        <f t="shared" ref="Z49:AG49" si="37">Z46+Z48</f>
        <v>34451357.268315628</v>
      </c>
      <c r="AA49" s="272">
        <f t="shared" si="37"/>
        <v>17676094.441069607</v>
      </c>
      <c r="AB49" s="272">
        <f t="shared" si="37"/>
        <v>4.7311186790466309E-7</v>
      </c>
      <c r="AC49" s="272">
        <f t="shared" si="37"/>
        <v>0</v>
      </c>
      <c r="AD49" s="272">
        <f t="shared" si="37"/>
        <v>0</v>
      </c>
      <c r="AE49" s="272">
        <f t="shared" si="37"/>
        <v>0</v>
      </c>
      <c r="AF49" s="272">
        <f t="shared" si="37"/>
        <v>0</v>
      </c>
      <c r="AG49" s="272">
        <f t="shared" si="37"/>
        <v>0</v>
      </c>
      <c r="AH49" s="272">
        <f>AH46+AH48</f>
        <v>0</v>
      </c>
      <c r="AI49" s="272">
        <f>AI46+AI48</f>
        <v>0</v>
      </c>
      <c r="AJ49" s="272">
        <f>AJ46+AJ48</f>
        <v>0</v>
      </c>
      <c r="AK49" s="272">
        <f>AK46+AK48</f>
        <v>0</v>
      </c>
      <c r="AL49" s="353">
        <f>AL46+AL48</f>
        <v>0</v>
      </c>
      <c r="AM49" s="310"/>
      <c r="AN49" s="309"/>
    </row>
    <row r="50" spans="1:40" ht="16.2" thickBot="1">
      <c r="E50" s="309"/>
      <c r="F50" s="310"/>
      <c r="G50" s="284"/>
      <c r="H50" s="285"/>
      <c r="I50" s="378"/>
      <c r="J50" s="285"/>
      <c r="K50" s="285"/>
      <c r="L50" s="285"/>
      <c r="M50" s="285"/>
      <c r="N50" s="285"/>
      <c r="O50" s="285"/>
      <c r="P50" s="285"/>
      <c r="Q50" s="285"/>
      <c r="R50" s="285"/>
      <c r="S50" s="333"/>
      <c r="T50" s="285"/>
      <c r="U50" s="285"/>
      <c r="V50" s="285"/>
      <c r="W50" s="285"/>
      <c r="X50" s="285"/>
      <c r="Y50" s="285"/>
      <c r="Z50" s="285"/>
      <c r="AA50" s="285"/>
      <c r="AB50" s="285"/>
      <c r="AC50" s="285"/>
      <c r="AD50" s="285"/>
      <c r="AE50" s="285"/>
      <c r="AF50" s="285"/>
      <c r="AG50" s="285"/>
      <c r="AH50" s="285"/>
      <c r="AI50" s="285"/>
      <c r="AJ50" s="285"/>
      <c r="AK50" s="285"/>
      <c r="AL50" s="286"/>
      <c r="AM50" s="310"/>
      <c r="AN50" s="309"/>
    </row>
    <row r="51" spans="1:40" ht="5.25" customHeight="1">
      <c r="E51" s="309"/>
      <c r="F51" s="310"/>
      <c r="G51" s="310"/>
      <c r="H51" s="310"/>
      <c r="I51" s="310"/>
      <c r="J51" s="310"/>
      <c r="K51" s="310"/>
      <c r="L51" s="310"/>
      <c r="M51" s="310"/>
      <c r="N51" s="310"/>
      <c r="O51" s="310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10"/>
      <c r="AD51" s="310"/>
      <c r="AE51" s="310"/>
      <c r="AF51" s="310"/>
      <c r="AG51" s="310"/>
      <c r="AH51" s="310"/>
      <c r="AI51" s="310"/>
      <c r="AJ51" s="310"/>
      <c r="AK51" s="310"/>
      <c r="AL51" s="310"/>
      <c r="AM51" s="310"/>
      <c r="AN51" s="309"/>
    </row>
    <row r="52" spans="1:40" ht="15.6">
      <c r="E52" s="309"/>
      <c r="F52" s="309"/>
      <c r="G52" s="309"/>
      <c r="H52" s="309"/>
      <c r="I52" s="309"/>
      <c r="J52" s="309"/>
      <c r="K52" s="309"/>
      <c r="L52" s="309"/>
      <c r="M52" s="309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</row>
    <row r="53" spans="1:40">
      <c r="B53" s="328" t="s">
        <v>77</v>
      </c>
    </row>
    <row r="54" spans="1:40">
      <c r="A54" s="600" t="s">
        <v>153</v>
      </c>
      <c r="B54" s="599"/>
      <c r="C54" s="601">
        <f ca="1">C49/C7/1000</f>
        <v>-502.27964077005117</v>
      </c>
    </row>
    <row r="55" spans="1:40">
      <c r="G55" s="360"/>
      <c r="H55" s="324"/>
      <c r="I55" s="319"/>
      <c r="S55" s="395"/>
    </row>
    <row r="57" spans="1:40">
      <c r="AI57" s="360"/>
      <c r="AJ57" s="360"/>
      <c r="AK57" s="360"/>
      <c r="AL57" s="360"/>
    </row>
    <row r="58" spans="1:40">
      <c r="I58" s="415"/>
      <c r="J58" s="395"/>
    </row>
    <row r="59" spans="1:40">
      <c r="I59" s="415"/>
    </row>
    <row r="60" spans="1:40" ht="18">
      <c r="A60" s="352"/>
      <c r="I60" s="397"/>
      <c r="J60" s="397"/>
      <c r="K60" s="397"/>
      <c r="L60" s="397"/>
      <c r="M60" s="397"/>
      <c r="N60" s="398"/>
      <c r="O60" s="398"/>
      <c r="P60" s="398"/>
      <c r="Q60" s="398"/>
      <c r="R60" s="398"/>
    </row>
    <row r="61" spans="1:40" ht="18">
      <c r="A61" s="352"/>
      <c r="O61" s="371"/>
      <c r="P61" s="371"/>
      <c r="Q61" s="371"/>
      <c r="R61" s="371"/>
    </row>
    <row r="62" spans="1:40">
      <c r="I62" s="400"/>
      <c r="J62" s="400"/>
      <c r="K62" s="400"/>
      <c r="L62" s="400"/>
      <c r="M62" s="400"/>
    </row>
  </sheetData>
  <mergeCells count="1">
    <mergeCell ref="A2:C2"/>
  </mergeCells>
  <conditionalFormatting sqref="A62:A65527 A54:A59 A46:A52 A45:C45 B46:C65527 A44 C20 C16:C18 B15:B20 G40:AL44 G46:AL50 G54:AL65524 AM54:AM65523 F54:F65523 D5:D65520 AN54:AN65522 A2:A3 D2:D3 B3:C3 G6:AL8 E54:E65522 E53:AN53 B5:C14 B21:C44 G10:AL38 AO1:IV1048576">
    <cfRule type="cellIs" dxfId="9" priority="7" operator="lessThan">
      <formula>0</formula>
    </cfRule>
  </conditionalFormatting>
  <conditionalFormatting sqref="A54:C54">
    <cfRule type="cellIs" dxfId="8" priority="2" operator="lessThan">
      <formula>0</formula>
    </cfRule>
  </conditionalFormatting>
  <conditionalFormatting sqref="A54:C54">
    <cfRule type="cellIs" dxfId="7" priority="1" operator="lessThan">
      <formula>0</formula>
    </cfRule>
  </conditionalFormatting>
  <dataValidations disablePrompts="1" count="8">
    <dataValidation type="list" allowBlank="1" showInputMessage="1" showErrorMessage="1" sqref="M58">
      <formula1>$O$58:$O$60</formula1>
    </dataValidation>
    <dataValidation type="list" allowBlank="1" showInputMessage="1" showErrorMessage="1" sqref="C31">
      <formula1>"1, 2, 3, 4, 5, 6, 7, 8, 9, 10, 11, 12, 13, 14, 15,16,17,18,19,20,21,22,23,24,25,26,27,28,29,30"</formula1>
    </dataValidation>
    <dataValidation type="list" allowBlank="1" showInputMessage="1" showErrorMessage="1" sqref="C32">
      <formula1>$AP$5:$AR$5</formula1>
    </dataValidation>
    <dataValidation type="list" allowBlank="1" showInputMessage="1" showErrorMessage="1" sqref="C33">
      <formula1>INDIRECT($C$32)</formula1>
    </dataValidation>
    <dataValidation type="list" allowBlank="1" showInputMessage="1" showErrorMessage="1" sqref="C44 C22:C23">
      <formula1>"YES, NO"</formula1>
    </dataValidation>
    <dataValidation type="list" allowBlank="1" showInputMessage="1" showErrorMessage="1" sqref="C21">
      <formula1>"-10, -9, -8, -7, -6, -5, -4, -3, -2, -1, 0, 1, 2, 3, 4, 5, 6, 7, 8, 9, 10"</formula1>
    </dataValidation>
    <dataValidation type="list" allowBlank="1" showInputMessage="1" showErrorMessage="1" sqref="C12">
      <formula1>"0,15,25"</formula1>
    </dataValidation>
    <dataValidation type="list" allowBlank="1" showInputMessage="1" showErrorMessage="1" sqref="D24">
      <formula1>"1, 2, 3, 4, 5"</formula1>
    </dataValidation>
  </dataValidations>
  <pageMargins left="0.7" right="0.7" top="0.75" bottom="0.75" header="0.3" footer="0.3"/>
  <pageSetup orientation="portrait" r:id="rId1"/>
  <headerFooter>
    <oddFooter>&amp;RPrepared by Julia Popova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S63"/>
  <sheetViews>
    <sheetView zoomScale="70" zoomScaleNormal="70" workbookViewId="0">
      <pane xSplit="7" ySplit="5" topLeftCell="H6" activePane="bottomRight" state="frozen"/>
      <selection pane="topRight" activeCell="F1" sqref="F1"/>
      <selection pane="bottomLeft" activeCell="A5" sqref="A5"/>
      <selection pane="bottomRight"/>
    </sheetView>
  </sheetViews>
  <sheetFormatPr defaultColWidth="9.109375" defaultRowHeight="14.4"/>
  <cols>
    <col min="1" max="1" width="38.44140625" style="416" customWidth="1"/>
    <col min="2" max="2" width="12.44140625" style="416" bestFit="1" customWidth="1"/>
    <col min="3" max="3" width="20" style="416" bestFit="1" customWidth="1"/>
    <col min="4" max="4" width="2.6640625" style="535" customWidth="1"/>
    <col min="5" max="5" width="3" style="416" customWidth="1"/>
    <col min="6" max="6" width="1.5546875" style="416" customWidth="1"/>
    <col min="7" max="7" width="51" style="416" bestFit="1" customWidth="1"/>
    <col min="8" max="8" width="11.109375" style="416" bestFit="1" customWidth="1"/>
    <col min="9" max="9" width="19.109375" style="416" bestFit="1" customWidth="1"/>
    <col min="10" max="11" width="16.6640625" style="416" bestFit="1" customWidth="1"/>
    <col min="12" max="13" width="16" style="416" bestFit="1" customWidth="1"/>
    <col min="14" max="14" width="15.6640625" style="416" bestFit="1" customWidth="1"/>
    <col min="15" max="17" width="17.44140625" style="416" bestFit="1" customWidth="1"/>
    <col min="18" max="18" width="17.109375" style="416" bestFit="1" customWidth="1"/>
    <col min="19" max="19" width="17.44140625" style="416" bestFit="1" customWidth="1"/>
    <col min="20" max="20" width="17.109375" style="416" bestFit="1" customWidth="1"/>
    <col min="21" max="22" width="17.44140625" style="416" bestFit="1" customWidth="1"/>
    <col min="23" max="23" width="17.109375" style="416" bestFit="1" customWidth="1"/>
    <col min="24" max="24" width="16" style="416" bestFit="1" customWidth="1"/>
    <col min="25" max="26" width="17.44140625" style="416" bestFit="1" customWidth="1"/>
    <col min="27" max="28" width="17.109375" style="416" bestFit="1" customWidth="1"/>
    <col min="29" max="36" width="8.88671875" style="416" bestFit="1" customWidth="1"/>
    <col min="37" max="37" width="8.88671875" style="416" customWidth="1"/>
    <col min="38" max="38" width="8.88671875" style="416" bestFit="1" customWidth="1"/>
    <col min="39" max="40" width="1.44140625" style="416" customWidth="1"/>
    <col min="41" max="41" width="9.109375" style="416"/>
    <col min="42" max="42" width="8.6640625" style="416" bestFit="1" customWidth="1"/>
    <col min="43" max="43" width="14.88671875" style="416" bestFit="1" customWidth="1"/>
    <col min="44" max="16384" width="9.109375" style="416"/>
  </cols>
  <sheetData>
    <row r="1" spans="1:44" ht="23.4">
      <c r="A1" s="574" t="s">
        <v>164</v>
      </c>
    </row>
    <row r="2" spans="1:44" ht="21">
      <c r="A2" s="602" t="s">
        <v>157</v>
      </c>
      <c r="B2" s="603"/>
      <c r="C2" s="603"/>
    </row>
    <row r="3" spans="1:44" ht="15.6">
      <c r="A3" s="455"/>
      <c r="B3" s="455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7"/>
      <c r="AH3" s="467"/>
      <c r="AI3" s="467"/>
      <c r="AJ3" s="467"/>
      <c r="AK3" s="467"/>
      <c r="AL3" s="467"/>
      <c r="AM3" s="467"/>
      <c r="AN3" s="467"/>
    </row>
    <row r="4" spans="1:44" ht="5.25" customHeight="1">
      <c r="E4" s="467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7"/>
    </row>
    <row r="5" spans="1:44" ht="16.2" thickBot="1">
      <c r="A5" s="469" t="s">
        <v>0</v>
      </c>
      <c r="B5" s="518"/>
      <c r="E5" s="467"/>
      <c r="F5" s="468"/>
      <c r="G5" s="471" t="s">
        <v>64</v>
      </c>
      <c r="H5" s="472">
        <v>42491</v>
      </c>
      <c r="I5" s="473">
        <v>42856</v>
      </c>
      <c r="J5" s="473">
        <v>43221</v>
      </c>
      <c r="K5" s="473">
        <v>43586</v>
      </c>
      <c r="L5" s="473">
        <v>43952</v>
      </c>
      <c r="M5" s="473">
        <v>44317</v>
      </c>
      <c r="N5" s="473">
        <v>44682</v>
      </c>
      <c r="O5" s="473">
        <v>45047</v>
      </c>
      <c r="P5" s="473">
        <v>45413</v>
      </c>
      <c r="Q5" s="473">
        <v>45778</v>
      </c>
      <c r="R5" s="473">
        <v>46143</v>
      </c>
      <c r="S5" s="473">
        <v>46508</v>
      </c>
      <c r="T5" s="473">
        <v>46874</v>
      </c>
      <c r="U5" s="473">
        <v>47239</v>
      </c>
      <c r="V5" s="473">
        <v>47604</v>
      </c>
      <c r="W5" s="473">
        <v>47969</v>
      </c>
      <c r="X5" s="473">
        <v>48335</v>
      </c>
      <c r="Y5" s="473">
        <v>48700</v>
      </c>
      <c r="Z5" s="473">
        <v>49065</v>
      </c>
      <c r="AA5" s="473">
        <v>49430</v>
      </c>
      <c r="AB5" s="473">
        <v>49796</v>
      </c>
      <c r="AC5" s="473">
        <v>50161</v>
      </c>
      <c r="AD5" s="473">
        <v>50526</v>
      </c>
      <c r="AE5" s="473">
        <v>50891</v>
      </c>
      <c r="AF5" s="473">
        <v>51257</v>
      </c>
      <c r="AG5" s="473">
        <v>51622</v>
      </c>
      <c r="AH5" s="473">
        <v>51987</v>
      </c>
      <c r="AI5" s="473">
        <v>52352</v>
      </c>
      <c r="AJ5" s="473">
        <v>52718</v>
      </c>
      <c r="AK5" s="473">
        <v>53083</v>
      </c>
      <c r="AL5" s="473">
        <v>53448</v>
      </c>
      <c r="AM5" s="468"/>
      <c r="AN5" s="467"/>
      <c r="AP5" s="545" t="s">
        <v>45</v>
      </c>
      <c r="AQ5" s="545" t="s">
        <v>46</v>
      </c>
      <c r="AR5" s="545" t="s">
        <v>94</v>
      </c>
    </row>
    <row r="6" spans="1:44" ht="15.6">
      <c r="A6" s="474" t="s">
        <v>71</v>
      </c>
      <c r="B6" s="478" t="s">
        <v>74</v>
      </c>
      <c r="C6" s="563">
        <f>3000*1.25*C7*1000</f>
        <v>375000000</v>
      </c>
      <c r="D6" s="421"/>
      <c r="E6" s="467"/>
      <c r="F6" s="468"/>
      <c r="G6" s="559" t="s">
        <v>16</v>
      </c>
      <c r="H6" s="560"/>
      <c r="I6" s="561">
        <v>1</v>
      </c>
      <c r="J6" s="561">
        <v>2</v>
      </c>
      <c r="K6" s="561">
        <v>3</v>
      </c>
      <c r="L6" s="561">
        <v>4</v>
      </c>
      <c r="M6" s="561">
        <v>5</v>
      </c>
      <c r="N6" s="561">
        <v>6</v>
      </c>
      <c r="O6" s="561">
        <v>7</v>
      </c>
      <c r="P6" s="561">
        <v>8</v>
      </c>
      <c r="Q6" s="561">
        <v>9</v>
      </c>
      <c r="R6" s="561">
        <v>10</v>
      </c>
      <c r="S6" s="561">
        <v>11</v>
      </c>
      <c r="T6" s="561">
        <v>12</v>
      </c>
      <c r="U6" s="561">
        <v>13</v>
      </c>
      <c r="V6" s="561">
        <v>14</v>
      </c>
      <c r="W6" s="561">
        <v>15</v>
      </c>
      <c r="X6" s="561">
        <v>16</v>
      </c>
      <c r="Y6" s="561">
        <v>17</v>
      </c>
      <c r="Z6" s="561">
        <v>18</v>
      </c>
      <c r="AA6" s="561">
        <v>19</v>
      </c>
      <c r="AB6" s="561">
        <v>20</v>
      </c>
      <c r="AC6" s="561">
        <v>21</v>
      </c>
      <c r="AD6" s="561">
        <v>22</v>
      </c>
      <c r="AE6" s="561">
        <v>23</v>
      </c>
      <c r="AF6" s="561">
        <v>24</v>
      </c>
      <c r="AG6" s="561">
        <v>25</v>
      </c>
      <c r="AH6" s="561">
        <v>26</v>
      </c>
      <c r="AI6" s="561">
        <v>27</v>
      </c>
      <c r="AJ6" s="561">
        <v>28</v>
      </c>
      <c r="AK6" s="561">
        <v>29</v>
      </c>
      <c r="AL6" s="562">
        <v>30</v>
      </c>
      <c r="AM6" s="468"/>
      <c r="AN6" s="467"/>
      <c r="AP6" s="545">
        <v>3</v>
      </c>
      <c r="AQ6" s="545">
        <v>1</v>
      </c>
      <c r="AR6" s="545">
        <v>5</v>
      </c>
    </row>
    <row r="7" spans="1:44" ht="15.6">
      <c r="A7" s="470" t="s">
        <v>63</v>
      </c>
      <c r="B7" s="478" t="s">
        <v>68</v>
      </c>
      <c r="C7" s="564">
        <v>100</v>
      </c>
      <c r="E7" s="467"/>
      <c r="F7" s="468"/>
      <c r="G7" s="550" t="s">
        <v>17</v>
      </c>
      <c r="H7" s="529"/>
      <c r="I7" s="547">
        <f>(1+$C$28)^(I6-1)</f>
        <v>1</v>
      </c>
      <c r="J7" s="547">
        <f t="shared" ref="J7:AL7" si="0">(1+$C$28)^(J6-1)</f>
        <v>1.0229999999999999</v>
      </c>
      <c r="K7" s="547">
        <f t="shared" si="0"/>
        <v>1.0465289999999998</v>
      </c>
      <c r="L7" s="547">
        <f t="shared" si="0"/>
        <v>1.0705991669999997</v>
      </c>
      <c r="M7" s="547">
        <f t="shared" si="0"/>
        <v>1.0952229478409996</v>
      </c>
      <c r="N7" s="547">
        <f t="shared" si="0"/>
        <v>1.1204130756413424</v>
      </c>
      <c r="O7" s="547">
        <f t="shared" si="0"/>
        <v>1.1461825763810933</v>
      </c>
      <c r="P7" s="547">
        <f t="shared" si="0"/>
        <v>1.1725447756378582</v>
      </c>
      <c r="Q7" s="547">
        <f t="shared" si="0"/>
        <v>1.1995133054775289</v>
      </c>
      <c r="R7" s="547">
        <f t="shared" si="0"/>
        <v>1.2271021115035119</v>
      </c>
      <c r="S7" s="547">
        <f t="shared" si="0"/>
        <v>1.2553254600680925</v>
      </c>
      <c r="T7" s="547">
        <f t="shared" si="0"/>
        <v>1.2841979456496586</v>
      </c>
      <c r="U7" s="547">
        <f t="shared" si="0"/>
        <v>1.3137344983996007</v>
      </c>
      <c r="V7" s="547">
        <f t="shared" si="0"/>
        <v>1.3439503918627913</v>
      </c>
      <c r="W7" s="547">
        <f t="shared" si="0"/>
        <v>1.3748612508756355</v>
      </c>
      <c r="X7" s="547">
        <f t="shared" si="0"/>
        <v>1.4064830596457747</v>
      </c>
      <c r="Y7" s="547">
        <f t="shared" si="0"/>
        <v>1.4388321700176274</v>
      </c>
      <c r="Z7" s="547">
        <f t="shared" si="0"/>
        <v>1.4719253099280327</v>
      </c>
      <c r="AA7" s="547">
        <f t="shared" si="0"/>
        <v>1.5057795920563775</v>
      </c>
      <c r="AB7" s="547">
        <f t="shared" si="0"/>
        <v>1.5404125226736738</v>
      </c>
      <c r="AC7" s="547">
        <f t="shared" si="0"/>
        <v>1.5758420106951683</v>
      </c>
      <c r="AD7" s="547">
        <f t="shared" si="0"/>
        <v>1.6120863769411569</v>
      </c>
      <c r="AE7" s="547">
        <f t="shared" si="0"/>
        <v>1.6491643636108035</v>
      </c>
      <c r="AF7" s="547">
        <f t="shared" si="0"/>
        <v>1.6870951439738515</v>
      </c>
      <c r="AG7" s="547">
        <f t="shared" si="0"/>
        <v>1.7258983322852501</v>
      </c>
      <c r="AH7" s="547">
        <f t="shared" si="0"/>
        <v>1.7655939939278107</v>
      </c>
      <c r="AI7" s="547">
        <f t="shared" si="0"/>
        <v>1.8062026557881501</v>
      </c>
      <c r="AJ7" s="547">
        <f t="shared" si="0"/>
        <v>1.8477453168712774</v>
      </c>
      <c r="AK7" s="547">
        <f t="shared" si="0"/>
        <v>1.8902434591593167</v>
      </c>
      <c r="AL7" s="454">
        <f t="shared" si="0"/>
        <v>1.9337190587199808</v>
      </c>
      <c r="AM7" s="468"/>
      <c r="AN7" s="467"/>
      <c r="AP7" s="545">
        <v>5</v>
      </c>
      <c r="AQ7" s="545">
        <v>2</v>
      </c>
      <c r="AR7" s="545">
        <v>7</v>
      </c>
    </row>
    <row r="8" spans="1:44" ht="16.2" thickBot="1">
      <c r="A8" s="474" t="s">
        <v>66</v>
      </c>
      <c r="B8" s="478" t="s">
        <v>65</v>
      </c>
      <c r="C8" s="475">
        <v>0.25</v>
      </c>
      <c r="D8" s="532"/>
      <c r="E8" s="467"/>
      <c r="F8" s="468"/>
      <c r="G8" s="448"/>
      <c r="H8" s="449"/>
      <c r="I8" s="449"/>
      <c r="J8" s="449"/>
      <c r="K8" s="449"/>
      <c r="L8" s="449"/>
      <c r="M8" s="449"/>
      <c r="N8" s="449"/>
      <c r="O8" s="449"/>
      <c r="P8" s="449"/>
      <c r="Q8" s="449"/>
      <c r="R8" s="449"/>
      <c r="S8" s="449"/>
      <c r="T8" s="418"/>
      <c r="U8" s="418"/>
      <c r="V8" s="418"/>
      <c r="W8" s="418"/>
      <c r="X8" s="418"/>
      <c r="Y8" s="418"/>
      <c r="Z8" s="418"/>
      <c r="AA8" s="418"/>
      <c r="AB8" s="418"/>
      <c r="AC8" s="418"/>
      <c r="AD8" s="418"/>
      <c r="AE8" s="418"/>
      <c r="AF8" s="418"/>
      <c r="AG8" s="418"/>
      <c r="AH8" s="418"/>
      <c r="AI8" s="418"/>
      <c r="AJ8" s="418"/>
      <c r="AK8" s="418"/>
      <c r="AL8" s="461"/>
      <c r="AM8" s="468"/>
      <c r="AN8" s="467"/>
      <c r="AP8" s="545">
        <v>7</v>
      </c>
      <c r="AQ8" s="545">
        <v>3</v>
      </c>
    </row>
    <row r="9" spans="1:44" ht="16.2" thickBot="1">
      <c r="A9" s="474" t="s">
        <v>67</v>
      </c>
      <c r="B9" s="478" t="s">
        <v>65</v>
      </c>
      <c r="C9" s="475">
        <v>0.2</v>
      </c>
      <c r="D9" s="532"/>
      <c r="E9" s="467"/>
      <c r="F9" s="468"/>
      <c r="G9" s="487" t="s">
        <v>18</v>
      </c>
      <c r="H9" s="492"/>
      <c r="I9" s="492"/>
      <c r="J9" s="492"/>
      <c r="K9" s="492"/>
      <c r="L9" s="492"/>
      <c r="M9" s="492"/>
      <c r="N9" s="492"/>
      <c r="O9" s="492"/>
      <c r="P9" s="492"/>
      <c r="Q9" s="492"/>
      <c r="R9" s="492"/>
      <c r="S9" s="492"/>
      <c r="T9" s="492"/>
      <c r="U9" s="492"/>
      <c r="V9" s="492"/>
      <c r="W9" s="492"/>
      <c r="X9" s="492"/>
      <c r="Y9" s="492"/>
      <c r="Z9" s="492"/>
      <c r="AA9" s="492"/>
      <c r="AB9" s="492"/>
      <c r="AC9" s="492"/>
      <c r="AD9" s="492"/>
      <c r="AE9" s="492"/>
      <c r="AF9" s="492"/>
      <c r="AG9" s="492"/>
      <c r="AH9" s="492"/>
      <c r="AI9" s="492"/>
      <c r="AJ9" s="492"/>
      <c r="AK9" s="492"/>
      <c r="AL9" s="493"/>
      <c r="AM9" s="468"/>
      <c r="AN9" s="467"/>
      <c r="AP9" s="545">
        <v>10</v>
      </c>
      <c r="AQ9" s="545">
        <v>4</v>
      </c>
    </row>
    <row r="10" spans="1:44" ht="15.6">
      <c r="A10" s="495" t="s">
        <v>3</v>
      </c>
      <c r="B10" s="508"/>
      <c r="C10" s="483"/>
      <c r="D10" s="532"/>
      <c r="E10" s="467"/>
      <c r="F10" s="468"/>
      <c r="G10" s="541" t="s">
        <v>3</v>
      </c>
      <c r="H10" s="441"/>
      <c r="I10" s="428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18"/>
      <c r="U10" s="418"/>
      <c r="V10" s="418"/>
      <c r="W10" s="418"/>
      <c r="X10" s="418"/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61"/>
      <c r="AM10" s="468"/>
      <c r="AN10" s="467"/>
      <c r="AP10" s="545">
        <v>15</v>
      </c>
      <c r="AQ10" s="545">
        <v>5</v>
      </c>
    </row>
    <row r="11" spans="1:44" ht="15.6">
      <c r="A11" s="474" t="s">
        <v>69</v>
      </c>
      <c r="B11" s="509" t="s">
        <v>80</v>
      </c>
      <c r="C11" s="476">
        <v>65</v>
      </c>
      <c r="D11" s="532"/>
      <c r="E11" s="467"/>
      <c r="F11" s="468"/>
      <c r="G11" s="550" t="s">
        <v>19</v>
      </c>
      <c r="H11" s="529"/>
      <c r="I11" s="536">
        <f t="shared" ref="I11:AL11" si="1">IF(I6&gt;$C$30,0,($C$15+$C$7*$C$8*$AQ$39*IF($C$19&lt;&gt;0,MAX((($C$19+1-I6)/$C$19),0),0)*12*1000)*$C$7*$C$8*I7*(1+0.0025)^(I6-1))</f>
        <v>1807672.4999999998</v>
      </c>
      <c r="J11" s="536">
        <f t="shared" si="1"/>
        <v>1864143.5610599997</v>
      </c>
      <c r="K11" s="536">
        <f t="shared" si="1"/>
        <v>1922320.394386733</v>
      </c>
      <c r="L11" s="536">
        <f t="shared" si="1"/>
        <v>1982253.3044340648</v>
      </c>
      <c r="M11" s="536">
        <f t="shared" si="1"/>
        <v>2043994.0527817889</v>
      </c>
      <c r="N11" s="536">
        <f t="shared" si="1"/>
        <v>2107595.8997584577</v>
      </c>
      <c r="O11" s="536">
        <f t="shared" si="1"/>
        <v>2161460.7819665344</v>
      </c>
      <c r="P11" s="536">
        <f t="shared" si="1"/>
        <v>2216702.3159016431</v>
      </c>
      <c r="Q11" s="536">
        <f t="shared" si="1"/>
        <v>2273355.6853402993</v>
      </c>
      <c r="R11" s="536">
        <f t="shared" si="1"/>
        <v>2331456.9732683841</v>
      </c>
      <c r="S11" s="536">
        <f t="shared" si="1"/>
        <v>2391043.1848626896</v>
      </c>
      <c r="T11" s="536">
        <f t="shared" si="1"/>
        <v>2452152.2710598176</v>
      </c>
      <c r="U11" s="536">
        <f t="shared" si="1"/>
        <v>2514823.1527274293</v>
      </c>
      <c r="V11" s="536">
        <f t="shared" si="1"/>
        <v>2579095.7454532604</v>
      </c>
      <c r="W11" s="536">
        <f t="shared" si="1"/>
        <v>2645010.9849676811</v>
      </c>
      <c r="X11" s="536">
        <f t="shared" si="1"/>
        <v>2712610.8532159915</v>
      </c>
      <c r="Y11" s="536">
        <f t="shared" si="1"/>
        <v>2781938.4050970594</v>
      </c>
      <c r="Z11" s="536">
        <f t="shared" si="1"/>
        <v>2853037.7958853273</v>
      </c>
      <c r="AA11" s="536">
        <f t="shared" si="1"/>
        <v>2925954.3093536668</v>
      </c>
      <c r="AB11" s="536">
        <f t="shared" si="1"/>
        <v>3000734.3866149718</v>
      </c>
      <c r="AC11" s="536">
        <f t="shared" si="1"/>
        <v>0</v>
      </c>
      <c r="AD11" s="536">
        <f t="shared" si="1"/>
        <v>0</v>
      </c>
      <c r="AE11" s="536">
        <f t="shared" si="1"/>
        <v>0</v>
      </c>
      <c r="AF11" s="536">
        <f t="shared" si="1"/>
        <v>0</v>
      </c>
      <c r="AG11" s="536">
        <f t="shared" si="1"/>
        <v>0</v>
      </c>
      <c r="AH11" s="536">
        <f t="shared" si="1"/>
        <v>0</v>
      </c>
      <c r="AI11" s="536">
        <f t="shared" si="1"/>
        <v>0</v>
      </c>
      <c r="AJ11" s="536">
        <f t="shared" si="1"/>
        <v>0</v>
      </c>
      <c r="AK11" s="536">
        <f t="shared" si="1"/>
        <v>0</v>
      </c>
      <c r="AL11" s="515">
        <f t="shared" si="1"/>
        <v>0</v>
      </c>
      <c r="AM11" s="468"/>
      <c r="AN11" s="467"/>
      <c r="AP11" s="545">
        <v>20</v>
      </c>
      <c r="AQ11" s="545">
        <v>6</v>
      </c>
    </row>
    <row r="12" spans="1:44" ht="15.6">
      <c r="A12" s="474" t="s">
        <v>134</v>
      </c>
      <c r="B12" s="569" t="s">
        <v>80</v>
      </c>
      <c r="C12" s="476">
        <v>25</v>
      </c>
      <c r="D12" s="532"/>
      <c r="E12" s="467"/>
      <c r="F12" s="468"/>
      <c r="G12" s="551" t="s">
        <v>2</v>
      </c>
      <c r="H12" s="528"/>
      <c r="I12" s="534">
        <f t="shared" ref="I12:AL12" si="2">MAX(0,IF(I$6&gt;$C$30,0,IF($C$20=0,$C$13,IF($C$20=1,$C$13*I7,$C$13*(I7^$C$20)))))</f>
        <v>11388000</v>
      </c>
      <c r="J12" s="534">
        <f t="shared" si="2"/>
        <v>11649923.999999998</v>
      </c>
      <c r="K12" s="534">
        <f t="shared" si="2"/>
        <v>11917872.251999998</v>
      </c>
      <c r="L12" s="534">
        <f t="shared" si="2"/>
        <v>12191983.313795997</v>
      </c>
      <c r="M12" s="534">
        <f t="shared" si="2"/>
        <v>12472398.930013303</v>
      </c>
      <c r="N12" s="534">
        <f t="shared" si="2"/>
        <v>12759264.105403608</v>
      </c>
      <c r="O12" s="534">
        <f t="shared" si="2"/>
        <v>13052727.179827891</v>
      </c>
      <c r="P12" s="534">
        <f t="shared" si="2"/>
        <v>13352939.904963929</v>
      </c>
      <c r="Q12" s="534">
        <f t="shared" si="2"/>
        <v>13660057.522778099</v>
      </c>
      <c r="R12" s="534">
        <f t="shared" si="2"/>
        <v>13974238.845801994</v>
      </c>
      <c r="S12" s="534">
        <f t="shared" si="2"/>
        <v>14295646.339255437</v>
      </c>
      <c r="T12" s="534">
        <f t="shared" si="2"/>
        <v>14624446.205058312</v>
      </c>
      <c r="U12" s="534">
        <f t="shared" si="2"/>
        <v>14960808.467774652</v>
      </c>
      <c r="V12" s="534">
        <f t="shared" si="2"/>
        <v>15304907.062533468</v>
      </c>
      <c r="W12" s="534">
        <f t="shared" si="2"/>
        <v>15656919.924971737</v>
      </c>
      <c r="X12" s="534">
        <f t="shared" si="2"/>
        <v>16017029.083246082</v>
      </c>
      <c r="Y12" s="534">
        <f t="shared" si="2"/>
        <v>16385420.752160741</v>
      </c>
      <c r="Z12" s="534">
        <f t="shared" si="2"/>
        <v>16762285.429460436</v>
      </c>
      <c r="AA12" s="534">
        <f t="shared" si="2"/>
        <v>17147817.994338028</v>
      </c>
      <c r="AB12" s="534">
        <f t="shared" si="2"/>
        <v>17542217.808207799</v>
      </c>
      <c r="AC12" s="534">
        <f t="shared" si="2"/>
        <v>0</v>
      </c>
      <c r="AD12" s="534">
        <f t="shared" si="2"/>
        <v>0</v>
      </c>
      <c r="AE12" s="534">
        <f t="shared" si="2"/>
        <v>0</v>
      </c>
      <c r="AF12" s="534">
        <f t="shared" si="2"/>
        <v>0</v>
      </c>
      <c r="AG12" s="534">
        <f t="shared" si="2"/>
        <v>0</v>
      </c>
      <c r="AH12" s="534">
        <f t="shared" si="2"/>
        <v>0</v>
      </c>
      <c r="AI12" s="534">
        <f t="shared" si="2"/>
        <v>0</v>
      </c>
      <c r="AJ12" s="534">
        <f t="shared" si="2"/>
        <v>0</v>
      </c>
      <c r="AK12" s="534">
        <f t="shared" si="2"/>
        <v>0</v>
      </c>
      <c r="AL12" s="465">
        <f t="shared" si="2"/>
        <v>0</v>
      </c>
      <c r="AM12" s="468"/>
      <c r="AN12" s="467"/>
      <c r="AP12" s="545"/>
      <c r="AQ12" s="545">
        <v>7</v>
      </c>
    </row>
    <row r="13" spans="1:44" ht="15.6">
      <c r="A13" s="470" t="s">
        <v>70</v>
      </c>
      <c r="B13" s="420" t="s">
        <v>89</v>
      </c>
      <c r="C13" s="456">
        <f>C11*C9*C7*8760</f>
        <v>11388000</v>
      </c>
      <c r="D13" s="532"/>
      <c r="E13" s="467"/>
      <c r="F13" s="468"/>
      <c r="G13" s="551" t="s">
        <v>132</v>
      </c>
      <c r="H13" s="528"/>
      <c r="I13" s="534">
        <f t="shared" ref="I13:AL13" si="3">MAX(0,IF(I$6&gt;$C$30,0,IF($C$20=0,$C$14,IF($C$20=1,$C$14*I7,$C$14*(I7^$C$20)))))</f>
        <v>4380000</v>
      </c>
      <c r="J13" s="534">
        <f t="shared" si="3"/>
        <v>4480740</v>
      </c>
      <c r="K13" s="534">
        <f t="shared" si="3"/>
        <v>4583797.0199999996</v>
      </c>
      <c r="L13" s="534">
        <f t="shared" si="3"/>
        <v>4689224.3514599986</v>
      </c>
      <c r="M13" s="534">
        <f t="shared" si="3"/>
        <v>4797076.5115435785</v>
      </c>
      <c r="N13" s="534">
        <f t="shared" si="3"/>
        <v>4907409.2713090796</v>
      </c>
      <c r="O13" s="534">
        <f t="shared" si="3"/>
        <v>5020279.6845491892</v>
      </c>
      <c r="P13" s="534">
        <f t="shared" si="3"/>
        <v>5135746.1172938189</v>
      </c>
      <c r="Q13" s="534">
        <f t="shared" si="3"/>
        <v>5253868.2779915761</v>
      </c>
      <c r="R13" s="534">
        <f t="shared" si="3"/>
        <v>5374707.2483853819</v>
      </c>
      <c r="S13" s="534">
        <f t="shared" si="3"/>
        <v>5498325.5150982449</v>
      </c>
      <c r="T13" s="534">
        <f t="shared" si="3"/>
        <v>5624787.0019455049</v>
      </c>
      <c r="U13" s="534">
        <f t="shared" si="3"/>
        <v>5754157.102990251</v>
      </c>
      <c r="V13" s="534">
        <f t="shared" si="3"/>
        <v>5886502.7163590258</v>
      </c>
      <c r="W13" s="534">
        <f t="shared" si="3"/>
        <v>6021892.2788352836</v>
      </c>
      <c r="X13" s="534">
        <f t="shared" si="3"/>
        <v>6160395.8012484936</v>
      </c>
      <c r="Y13" s="534">
        <f t="shared" si="3"/>
        <v>6302084.9046772085</v>
      </c>
      <c r="Z13" s="534">
        <f t="shared" si="3"/>
        <v>6447032.857484783</v>
      </c>
      <c r="AA13" s="534">
        <f t="shared" si="3"/>
        <v>6595314.6132069333</v>
      </c>
      <c r="AB13" s="534">
        <f t="shared" si="3"/>
        <v>6747006.8493106915</v>
      </c>
      <c r="AC13" s="534">
        <f t="shared" si="3"/>
        <v>0</v>
      </c>
      <c r="AD13" s="534">
        <f t="shared" si="3"/>
        <v>0</v>
      </c>
      <c r="AE13" s="534">
        <f t="shared" si="3"/>
        <v>0</v>
      </c>
      <c r="AF13" s="534">
        <f t="shared" si="3"/>
        <v>0</v>
      </c>
      <c r="AG13" s="534">
        <f t="shared" si="3"/>
        <v>0</v>
      </c>
      <c r="AH13" s="534">
        <f t="shared" si="3"/>
        <v>0</v>
      </c>
      <c r="AI13" s="534">
        <f t="shared" si="3"/>
        <v>0</v>
      </c>
      <c r="AJ13" s="534">
        <f t="shared" si="3"/>
        <v>0</v>
      </c>
      <c r="AK13" s="534">
        <f t="shared" si="3"/>
        <v>0</v>
      </c>
      <c r="AL13" s="465">
        <f t="shared" si="3"/>
        <v>0</v>
      </c>
      <c r="AM13" s="468"/>
      <c r="AN13" s="467"/>
      <c r="AP13" s="545"/>
      <c r="AQ13" s="545">
        <v>8</v>
      </c>
    </row>
    <row r="14" spans="1:44" ht="16.2" thickBot="1">
      <c r="A14" s="474" t="s">
        <v>132</v>
      </c>
      <c r="B14" s="420" t="s">
        <v>89</v>
      </c>
      <c r="C14" s="456">
        <f>C12*C9*C7*8760</f>
        <v>4380000</v>
      </c>
      <c r="D14" s="532"/>
      <c r="E14" s="467"/>
      <c r="F14" s="468"/>
      <c r="G14" s="443" t="s">
        <v>20</v>
      </c>
      <c r="H14" s="527"/>
      <c r="I14" s="433">
        <f>SUM(I11:I13)</f>
        <v>17575672.5</v>
      </c>
      <c r="J14" s="433">
        <f t="shared" ref="J14:AL14" si="4">SUM(J11:J13)</f>
        <v>17994807.561059996</v>
      </c>
      <c r="K14" s="433">
        <f t="shared" si="4"/>
        <v>18423989.666386731</v>
      </c>
      <c r="L14" s="433">
        <f t="shared" si="4"/>
        <v>18863460.969690062</v>
      </c>
      <c r="M14" s="433">
        <f t="shared" si="4"/>
        <v>19313469.494338669</v>
      </c>
      <c r="N14" s="433">
        <f t="shared" si="4"/>
        <v>19774269.276471145</v>
      </c>
      <c r="O14" s="433">
        <f t="shared" si="4"/>
        <v>20234467.646343615</v>
      </c>
      <c r="P14" s="433">
        <f t="shared" si="4"/>
        <v>20705388.33815939</v>
      </c>
      <c r="Q14" s="433">
        <f t="shared" si="4"/>
        <v>21187281.486109972</v>
      </c>
      <c r="R14" s="433">
        <f t="shared" si="4"/>
        <v>21680403.067455761</v>
      </c>
      <c r="S14" s="433">
        <f t="shared" si="4"/>
        <v>22185015.039216373</v>
      </c>
      <c r="T14" s="433">
        <f t="shared" si="4"/>
        <v>22701385.478063636</v>
      </c>
      <c r="U14" s="433">
        <f t="shared" si="4"/>
        <v>23229788.723492332</v>
      </c>
      <c r="V14" s="433">
        <f t="shared" si="4"/>
        <v>23770505.524345756</v>
      </c>
      <c r="W14" s="433">
        <f t="shared" si="4"/>
        <v>24323823.188774705</v>
      </c>
      <c r="X14" s="433">
        <f t="shared" si="4"/>
        <v>24890035.737710569</v>
      </c>
      <c r="Y14" s="433">
        <f t="shared" si="4"/>
        <v>25469444.061935008</v>
      </c>
      <c r="Z14" s="433">
        <f t="shared" si="4"/>
        <v>26062356.082830548</v>
      </c>
      <c r="AA14" s="433">
        <f t="shared" si="4"/>
        <v>26669086.916898631</v>
      </c>
      <c r="AB14" s="433">
        <f t="shared" si="4"/>
        <v>27289959.044133462</v>
      </c>
      <c r="AC14" s="433">
        <f t="shared" si="4"/>
        <v>0</v>
      </c>
      <c r="AD14" s="433">
        <f t="shared" si="4"/>
        <v>0</v>
      </c>
      <c r="AE14" s="433">
        <f t="shared" si="4"/>
        <v>0</v>
      </c>
      <c r="AF14" s="433">
        <f t="shared" si="4"/>
        <v>0</v>
      </c>
      <c r="AG14" s="433">
        <f t="shared" si="4"/>
        <v>0</v>
      </c>
      <c r="AH14" s="433">
        <f t="shared" si="4"/>
        <v>0</v>
      </c>
      <c r="AI14" s="433">
        <f t="shared" si="4"/>
        <v>0</v>
      </c>
      <c r="AJ14" s="433">
        <f t="shared" si="4"/>
        <v>0</v>
      </c>
      <c r="AK14" s="433">
        <f t="shared" si="4"/>
        <v>0</v>
      </c>
      <c r="AL14" s="503">
        <f t="shared" si="4"/>
        <v>0</v>
      </c>
      <c r="AM14" s="468"/>
      <c r="AN14" s="467"/>
      <c r="AP14" s="545"/>
      <c r="AQ14" s="545">
        <v>9</v>
      </c>
    </row>
    <row r="15" spans="1:44" ht="16.2" thickTop="1">
      <c r="A15" s="474" t="s">
        <v>47</v>
      </c>
      <c r="B15" s="420" t="s">
        <v>87</v>
      </c>
      <c r="C15" s="506">
        <f>'ICAP Price&amp;Impact'!O28</f>
        <v>74310</v>
      </c>
      <c r="D15" s="422"/>
      <c r="E15" s="467"/>
      <c r="F15" s="468"/>
      <c r="G15" s="444" t="s">
        <v>4</v>
      </c>
      <c r="H15" s="439"/>
      <c r="I15" s="533"/>
      <c r="J15" s="418"/>
      <c r="K15" s="418"/>
      <c r="L15" s="418"/>
      <c r="M15" s="418"/>
      <c r="N15" s="418"/>
      <c r="O15" s="418"/>
      <c r="P15" s="418"/>
      <c r="Q15" s="418"/>
      <c r="R15" s="418"/>
      <c r="S15" s="481"/>
      <c r="T15" s="496"/>
      <c r="U15" s="481"/>
      <c r="V15" s="481"/>
      <c r="W15" s="481"/>
      <c r="X15" s="481"/>
      <c r="Y15" s="481"/>
      <c r="Z15" s="418"/>
      <c r="AA15" s="418"/>
      <c r="AB15" s="418"/>
      <c r="AC15" s="418"/>
      <c r="AD15" s="418"/>
      <c r="AE15" s="418"/>
      <c r="AF15" s="418"/>
      <c r="AG15" s="418"/>
      <c r="AH15" s="418"/>
      <c r="AI15" s="481"/>
      <c r="AJ15" s="496"/>
      <c r="AK15" s="481"/>
      <c r="AL15" s="459"/>
      <c r="AM15" s="468"/>
      <c r="AN15" s="467"/>
      <c r="AP15" s="545"/>
      <c r="AQ15" s="545">
        <v>10</v>
      </c>
    </row>
    <row r="16" spans="1:44" ht="15.6">
      <c r="A16" s="474" t="s">
        <v>102</v>
      </c>
      <c r="B16" s="530" t="s">
        <v>65</v>
      </c>
      <c r="C16" s="457">
        <v>1</v>
      </c>
      <c r="E16" s="467"/>
      <c r="F16" s="468"/>
      <c r="G16" s="550" t="s">
        <v>5</v>
      </c>
      <c r="H16" s="529"/>
      <c r="I16" s="536">
        <f>IF(I6&gt;$C$30,0,-$C$34)</f>
        <v>-3750000</v>
      </c>
      <c r="J16" s="523">
        <f t="shared" ref="J16:AL16" si="5">IF(J6&gt;$C$30,0,$I$16*J7)</f>
        <v>-3836249.9999999995</v>
      </c>
      <c r="K16" s="523">
        <f t="shared" si="5"/>
        <v>-3924483.7499999995</v>
      </c>
      <c r="L16" s="523">
        <f t="shared" si="5"/>
        <v>-4014746.8762499988</v>
      </c>
      <c r="M16" s="523">
        <f t="shared" si="5"/>
        <v>-4107086.0544037484</v>
      </c>
      <c r="N16" s="523">
        <f t="shared" si="5"/>
        <v>-4201549.0336550344</v>
      </c>
      <c r="O16" s="523">
        <f t="shared" si="5"/>
        <v>-4298184.6614290997</v>
      </c>
      <c r="P16" s="523">
        <f t="shared" si="5"/>
        <v>-4397042.9086419679</v>
      </c>
      <c r="Q16" s="523">
        <f t="shared" si="5"/>
        <v>-4498174.8955407329</v>
      </c>
      <c r="R16" s="523">
        <f t="shared" si="5"/>
        <v>-4601632.9181381697</v>
      </c>
      <c r="S16" s="497">
        <f t="shared" si="5"/>
        <v>-4707470.4752553469</v>
      </c>
      <c r="T16" s="497">
        <f t="shared" si="5"/>
        <v>-4815742.2961862199</v>
      </c>
      <c r="U16" s="497">
        <f t="shared" si="5"/>
        <v>-4926504.3689985024</v>
      </c>
      <c r="V16" s="497">
        <f t="shared" si="5"/>
        <v>-5039813.9694854673</v>
      </c>
      <c r="W16" s="497">
        <f t="shared" si="5"/>
        <v>-5155729.6907836329</v>
      </c>
      <c r="X16" s="497">
        <f t="shared" si="5"/>
        <v>-5274311.4736716552</v>
      </c>
      <c r="Y16" s="497">
        <f t="shared" si="5"/>
        <v>-5395620.6375661027</v>
      </c>
      <c r="Z16" s="497">
        <f t="shared" si="5"/>
        <v>-5519719.9122301228</v>
      </c>
      <c r="AA16" s="497">
        <f t="shared" si="5"/>
        <v>-5646673.4702114156</v>
      </c>
      <c r="AB16" s="497">
        <f t="shared" si="5"/>
        <v>-5776546.9600262763</v>
      </c>
      <c r="AC16" s="497">
        <f t="shared" si="5"/>
        <v>0</v>
      </c>
      <c r="AD16" s="497">
        <f t="shared" si="5"/>
        <v>0</v>
      </c>
      <c r="AE16" s="497">
        <f t="shared" si="5"/>
        <v>0</v>
      </c>
      <c r="AF16" s="497">
        <f t="shared" si="5"/>
        <v>0</v>
      </c>
      <c r="AG16" s="497">
        <f t="shared" si="5"/>
        <v>0</v>
      </c>
      <c r="AH16" s="497">
        <f t="shared" si="5"/>
        <v>0</v>
      </c>
      <c r="AI16" s="497">
        <f t="shared" si="5"/>
        <v>0</v>
      </c>
      <c r="AJ16" s="497">
        <f t="shared" si="5"/>
        <v>0</v>
      </c>
      <c r="AK16" s="497">
        <f t="shared" si="5"/>
        <v>0</v>
      </c>
      <c r="AL16" s="458">
        <f t="shared" si="5"/>
        <v>0</v>
      </c>
      <c r="AM16" s="468"/>
      <c r="AN16" s="467"/>
      <c r="AQ16" s="545">
        <v>11</v>
      </c>
    </row>
    <row r="17" spans="1:43" ht="15.6">
      <c r="A17" s="474" t="s">
        <v>103</v>
      </c>
      <c r="B17" s="530" t="s">
        <v>65</v>
      </c>
      <c r="C17" s="457">
        <v>1</v>
      </c>
      <c r="D17" s="422"/>
      <c r="E17" s="467"/>
      <c r="F17" s="468"/>
      <c r="G17" s="550" t="s">
        <v>6</v>
      </c>
      <c r="H17" s="529"/>
      <c r="I17" s="534">
        <f>IF(I6&gt;$C$30,0,-$C$35)</f>
        <v>0</v>
      </c>
      <c r="J17" s="440">
        <f t="shared" ref="J17:AL17" si="6">IF(J6&gt;$C$30,0,$I$17*J7)</f>
        <v>0</v>
      </c>
      <c r="K17" s="440">
        <f t="shared" si="6"/>
        <v>0</v>
      </c>
      <c r="L17" s="440">
        <f t="shared" si="6"/>
        <v>0</v>
      </c>
      <c r="M17" s="440">
        <f t="shared" si="6"/>
        <v>0</v>
      </c>
      <c r="N17" s="440">
        <f t="shared" si="6"/>
        <v>0</v>
      </c>
      <c r="O17" s="440">
        <f t="shared" si="6"/>
        <v>0</v>
      </c>
      <c r="P17" s="440">
        <f t="shared" si="6"/>
        <v>0</v>
      </c>
      <c r="Q17" s="440">
        <f t="shared" si="6"/>
        <v>0</v>
      </c>
      <c r="R17" s="440">
        <f t="shared" si="6"/>
        <v>0</v>
      </c>
      <c r="S17" s="507">
        <f t="shared" si="6"/>
        <v>0</v>
      </c>
      <c r="T17" s="507">
        <f t="shared" si="6"/>
        <v>0</v>
      </c>
      <c r="U17" s="507">
        <f t="shared" si="6"/>
        <v>0</v>
      </c>
      <c r="V17" s="507">
        <f t="shared" si="6"/>
        <v>0</v>
      </c>
      <c r="W17" s="507">
        <f t="shared" si="6"/>
        <v>0</v>
      </c>
      <c r="X17" s="507">
        <f t="shared" si="6"/>
        <v>0</v>
      </c>
      <c r="Y17" s="507">
        <f t="shared" si="6"/>
        <v>0</v>
      </c>
      <c r="Z17" s="507">
        <f t="shared" si="6"/>
        <v>0</v>
      </c>
      <c r="AA17" s="507">
        <f t="shared" si="6"/>
        <v>0</v>
      </c>
      <c r="AB17" s="507">
        <f t="shared" si="6"/>
        <v>0</v>
      </c>
      <c r="AC17" s="507">
        <f t="shared" si="6"/>
        <v>0</v>
      </c>
      <c r="AD17" s="507">
        <f t="shared" si="6"/>
        <v>0</v>
      </c>
      <c r="AE17" s="507">
        <f t="shared" si="6"/>
        <v>0</v>
      </c>
      <c r="AF17" s="507">
        <f t="shared" si="6"/>
        <v>0</v>
      </c>
      <c r="AG17" s="507">
        <f t="shared" si="6"/>
        <v>0</v>
      </c>
      <c r="AH17" s="507">
        <f t="shared" si="6"/>
        <v>0</v>
      </c>
      <c r="AI17" s="507">
        <f t="shared" si="6"/>
        <v>0</v>
      </c>
      <c r="AJ17" s="507">
        <f t="shared" si="6"/>
        <v>0</v>
      </c>
      <c r="AK17" s="507">
        <f t="shared" si="6"/>
        <v>0</v>
      </c>
      <c r="AL17" s="458">
        <f t="shared" si="6"/>
        <v>0</v>
      </c>
      <c r="AM17" s="468"/>
      <c r="AN17" s="467"/>
      <c r="AQ17" s="545">
        <v>12</v>
      </c>
    </row>
    <row r="18" spans="1:43" ht="15.6">
      <c r="A18" s="470" t="s">
        <v>78</v>
      </c>
      <c r="B18" s="478"/>
      <c r="C18" s="542">
        <f>-C16*'ICAP Price&amp;Impact'!P38-C17*'ICAP Price&amp;Impact'!P19</f>
        <v>81824368.180000067</v>
      </c>
      <c r="D18" s="422"/>
      <c r="E18" s="467"/>
      <c r="F18" s="468"/>
      <c r="G18" s="550" t="s">
        <v>7</v>
      </c>
      <c r="H18" s="529"/>
      <c r="I18" s="534">
        <f t="shared" ref="I18:AL18" si="7">IF(I6&gt;$C$30,0,-$C$36)</f>
        <v>0</v>
      </c>
      <c r="J18" s="534">
        <f t="shared" si="7"/>
        <v>0</v>
      </c>
      <c r="K18" s="534">
        <f t="shared" si="7"/>
        <v>0</v>
      </c>
      <c r="L18" s="534">
        <f t="shared" si="7"/>
        <v>0</v>
      </c>
      <c r="M18" s="534">
        <f t="shared" si="7"/>
        <v>0</v>
      </c>
      <c r="N18" s="534">
        <f t="shared" si="7"/>
        <v>0</v>
      </c>
      <c r="O18" s="534">
        <f t="shared" si="7"/>
        <v>0</v>
      </c>
      <c r="P18" s="534">
        <f t="shared" si="7"/>
        <v>0</v>
      </c>
      <c r="Q18" s="534">
        <f t="shared" si="7"/>
        <v>0</v>
      </c>
      <c r="R18" s="534">
        <f t="shared" si="7"/>
        <v>0</v>
      </c>
      <c r="S18" s="489">
        <f t="shared" si="7"/>
        <v>0</v>
      </c>
      <c r="T18" s="489">
        <f t="shared" si="7"/>
        <v>0</v>
      </c>
      <c r="U18" s="489">
        <f t="shared" si="7"/>
        <v>0</v>
      </c>
      <c r="V18" s="489">
        <f t="shared" si="7"/>
        <v>0</v>
      </c>
      <c r="W18" s="489">
        <f t="shared" si="7"/>
        <v>0</v>
      </c>
      <c r="X18" s="489">
        <f t="shared" si="7"/>
        <v>0</v>
      </c>
      <c r="Y18" s="489">
        <f t="shared" si="7"/>
        <v>0</v>
      </c>
      <c r="Z18" s="534">
        <f t="shared" si="7"/>
        <v>0</v>
      </c>
      <c r="AA18" s="534">
        <f t="shared" si="7"/>
        <v>0</v>
      </c>
      <c r="AB18" s="534">
        <f t="shared" si="7"/>
        <v>0</v>
      </c>
      <c r="AC18" s="534">
        <f t="shared" si="7"/>
        <v>0</v>
      </c>
      <c r="AD18" s="534">
        <f t="shared" si="7"/>
        <v>0</v>
      </c>
      <c r="AE18" s="534">
        <f t="shared" si="7"/>
        <v>0</v>
      </c>
      <c r="AF18" s="534">
        <f t="shared" si="7"/>
        <v>0</v>
      </c>
      <c r="AG18" s="534">
        <f t="shared" si="7"/>
        <v>0</v>
      </c>
      <c r="AH18" s="534">
        <f t="shared" si="7"/>
        <v>0</v>
      </c>
      <c r="AI18" s="489">
        <f t="shared" si="7"/>
        <v>0</v>
      </c>
      <c r="AJ18" s="489">
        <f t="shared" si="7"/>
        <v>0</v>
      </c>
      <c r="AK18" s="489">
        <f t="shared" si="7"/>
        <v>0</v>
      </c>
      <c r="AL18" s="458">
        <f t="shared" si="7"/>
        <v>0</v>
      </c>
      <c r="AM18" s="468"/>
      <c r="AN18" s="467"/>
      <c r="AQ18" s="545">
        <v>13</v>
      </c>
    </row>
    <row r="19" spans="1:43" ht="15.6">
      <c r="A19" s="474" t="s">
        <v>76</v>
      </c>
      <c r="B19" s="543" t="s">
        <v>88</v>
      </c>
      <c r="C19" s="463">
        <v>5</v>
      </c>
      <c r="D19" s="422"/>
      <c r="E19" s="467"/>
      <c r="F19" s="468"/>
      <c r="G19" s="550" t="s">
        <v>149</v>
      </c>
      <c r="H19" s="529"/>
      <c r="I19" s="534">
        <f>IF(I6&gt;$C$30,0,-$C$37)</f>
        <v>0</v>
      </c>
      <c r="J19" s="534">
        <f t="shared" ref="J19:AL19" si="8">IF(J6&gt;$C$30,0,-$C$37)</f>
        <v>0</v>
      </c>
      <c r="K19" s="534">
        <f t="shared" si="8"/>
        <v>0</v>
      </c>
      <c r="L19" s="534">
        <f t="shared" si="8"/>
        <v>0</v>
      </c>
      <c r="M19" s="534">
        <f t="shared" si="8"/>
        <v>0</v>
      </c>
      <c r="N19" s="534">
        <f t="shared" si="8"/>
        <v>0</v>
      </c>
      <c r="O19" s="534">
        <f t="shared" si="8"/>
        <v>0</v>
      </c>
      <c r="P19" s="534">
        <f t="shared" si="8"/>
        <v>0</v>
      </c>
      <c r="Q19" s="534">
        <f t="shared" si="8"/>
        <v>0</v>
      </c>
      <c r="R19" s="534">
        <f t="shared" si="8"/>
        <v>0</v>
      </c>
      <c r="S19" s="489">
        <f t="shared" si="8"/>
        <v>0</v>
      </c>
      <c r="T19" s="489">
        <f t="shared" si="8"/>
        <v>0</v>
      </c>
      <c r="U19" s="489">
        <f t="shared" si="8"/>
        <v>0</v>
      </c>
      <c r="V19" s="489">
        <f t="shared" si="8"/>
        <v>0</v>
      </c>
      <c r="W19" s="489">
        <f t="shared" si="8"/>
        <v>0</v>
      </c>
      <c r="X19" s="489">
        <f t="shared" si="8"/>
        <v>0</v>
      </c>
      <c r="Y19" s="489">
        <f t="shared" si="8"/>
        <v>0</v>
      </c>
      <c r="Z19" s="534">
        <f t="shared" si="8"/>
        <v>0</v>
      </c>
      <c r="AA19" s="534">
        <f t="shared" si="8"/>
        <v>0</v>
      </c>
      <c r="AB19" s="534">
        <f t="shared" si="8"/>
        <v>0</v>
      </c>
      <c r="AC19" s="534">
        <f t="shared" si="8"/>
        <v>0</v>
      </c>
      <c r="AD19" s="534">
        <f t="shared" si="8"/>
        <v>0</v>
      </c>
      <c r="AE19" s="534">
        <f t="shared" si="8"/>
        <v>0</v>
      </c>
      <c r="AF19" s="534">
        <f t="shared" si="8"/>
        <v>0</v>
      </c>
      <c r="AG19" s="534">
        <f t="shared" si="8"/>
        <v>0</v>
      </c>
      <c r="AH19" s="534">
        <f t="shared" si="8"/>
        <v>0</v>
      </c>
      <c r="AI19" s="489">
        <f t="shared" si="8"/>
        <v>0</v>
      </c>
      <c r="AJ19" s="489">
        <f t="shared" si="8"/>
        <v>0</v>
      </c>
      <c r="AK19" s="489">
        <f t="shared" si="8"/>
        <v>0</v>
      </c>
      <c r="AL19" s="458">
        <f t="shared" si="8"/>
        <v>0</v>
      </c>
      <c r="AM19" s="468"/>
      <c r="AN19" s="467"/>
      <c r="AQ19" s="545">
        <v>14</v>
      </c>
    </row>
    <row r="20" spans="1:43" ht="16.2" thickBot="1">
      <c r="A20" s="470" t="s">
        <v>48</v>
      </c>
      <c r="B20" s="420"/>
      <c r="C20" s="464">
        <v>1</v>
      </c>
      <c r="D20" s="423"/>
      <c r="E20" s="467"/>
      <c r="F20" s="468"/>
      <c r="G20" s="445" t="s">
        <v>21</v>
      </c>
      <c r="H20" s="526"/>
      <c r="I20" s="435">
        <f>SUM(I16:I19)</f>
        <v>-3750000</v>
      </c>
      <c r="J20" s="436">
        <f t="shared" ref="J20:AL20" si="9">SUM(J16:J19)</f>
        <v>-3836249.9999999995</v>
      </c>
      <c r="K20" s="436">
        <f t="shared" si="9"/>
        <v>-3924483.7499999995</v>
      </c>
      <c r="L20" s="436">
        <f t="shared" si="9"/>
        <v>-4014746.8762499988</v>
      </c>
      <c r="M20" s="436">
        <f t="shared" si="9"/>
        <v>-4107086.0544037484</v>
      </c>
      <c r="N20" s="436">
        <f t="shared" si="9"/>
        <v>-4201549.0336550344</v>
      </c>
      <c r="O20" s="436">
        <f t="shared" si="9"/>
        <v>-4298184.6614290997</v>
      </c>
      <c r="P20" s="436">
        <f t="shared" si="9"/>
        <v>-4397042.9086419679</v>
      </c>
      <c r="Q20" s="436">
        <f t="shared" si="9"/>
        <v>-4498174.8955407329</v>
      </c>
      <c r="R20" s="436">
        <f t="shared" si="9"/>
        <v>-4601632.9181381697</v>
      </c>
      <c r="S20" s="484">
        <f t="shared" si="9"/>
        <v>-4707470.4752553469</v>
      </c>
      <c r="T20" s="484">
        <f t="shared" si="9"/>
        <v>-4815742.2961862199</v>
      </c>
      <c r="U20" s="484">
        <f t="shared" si="9"/>
        <v>-4926504.3689985024</v>
      </c>
      <c r="V20" s="484">
        <f t="shared" si="9"/>
        <v>-5039813.9694854673</v>
      </c>
      <c r="W20" s="484">
        <f t="shared" si="9"/>
        <v>-5155729.6907836329</v>
      </c>
      <c r="X20" s="484">
        <f t="shared" si="9"/>
        <v>-5274311.4736716552</v>
      </c>
      <c r="Y20" s="484">
        <f t="shared" si="9"/>
        <v>-5395620.6375661027</v>
      </c>
      <c r="Z20" s="436">
        <f t="shared" si="9"/>
        <v>-5519719.9122301228</v>
      </c>
      <c r="AA20" s="436">
        <f t="shared" si="9"/>
        <v>-5646673.4702114156</v>
      </c>
      <c r="AB20" s="436">
        <f t="shared" si="9"/>
        <v>-5776546.9600262763</v>
      </c>
      <c r="AC20" s="436">
        <f t="shared" si="9"/>
        <v>0</v>
      </c>
      <c r="AD20" s="436">
        <f t="shared" si="9"/>
        <v>0</v>
      </c>
      <c r="AE20" s="436">
        <f t="shared" si="9"/>
        <v>0</v>
      </c>
      <c r="AF20" s="436">
        <f t="shared" si="9"/>
        <v>0</v>
      </c>
      <c r="AG20" s="436">
        <f t="shared" si="9"/>
        <v>0</v>
      </c>
      <c r="AH20" s="436">
        <f t="shared" si="9"/>
        <v>0</v>
      </c>
      <c r="AI20" s="484">
        <f t="shared" si="9"/>
        <v>0</v>
      </c>
      <c r="AJ20" s="484">
        <f t="shared" si="9"/>
        <v>0</v>
      </c>
      <c r="AK20" s="484">
        <f t="shared" si="9"/>
        <v>0</v>
      </c>
      <c r="AL20" s="460">
        <f t="shared" si="9"/>
        <v>0</v>
      </c>
      <c r="AM20" s="468"/>
      <c r="AN20" s="467"/>
      <c r="AQ20" s="545">
        <v>15</v>
      </c>
    </row>
    <row r="21" spans="1:43" ht="16.2" thickTop="1">
      <c r="A21" s="474" t="s">
        <v>129</v>
      </c>
      <c r="B21" s="530"/>
      <c r="C21" s="242" t="s">
        <v>130</v>
      </c>
      <c r="D21" s="423"/>
      <c r="E21" s="467"/>
      <c r="F21" s="468"/>
      <c r="G21" s="446"/>
      <c r="H21" s="418"/>
      <c r="I21" s="533"/>
      <c r="J21" s="418"/>
      <c r="K21" s="418"/>
      <c r="L21" s="418"/>
      <c r="M21" s="418"/>
      <c r="N21" s="418"/>
      <c r="O21" s="418"/>
      <c r="P21" s="418"/>
      <c r="Q21" s="418"/>
      <c r="R21" s="418"/>
      <c r="S21" s="481"/>
      <c r="T21" s="481"/>
      <c r="U21" s="481"/>
      <c r="V21" s="481"/>
      <c r="W21" s="481"/>
      <c r="X21" s="481"/>
      <c r="Y21" s="481"/>
      <c r="Z21" s="418"/>
      <c r="AA21" s="418"/>
      <c r="AB21" s="418"/>
      <c r="AC21" s="418"/>
      <c r="AD21" s="418"/>
      <c r="AE21" s="418"/>
      <c r="AF21" s="418"/>
      <c r="AG21" s="418"/>
      <c r="AH21" s="418"/>
      <c r="AI21" s="481"/>
      <c r="AJ21" s="481"/>
      <c r="AK21" s="481"/>
      <c r="AL21" s="459"/>
      <c r="AM21" s="468"/>
      <c r="AN21" s="467"/>
      <c r="AQ21" s="545">
        <v>16</v>
      </c>
    </row>
    <row r="22" spans="1:43" ht="15.6">
      <c r="A22" s="474" t="s">
        <v>131</v>
      </c>
      <c r="B22" s="530"/>
      <c r="C22" s="242" t="s">
        <v>130</v>
      </c>
      <c r="D22" s="423"/>
      <c r="E22" s="467"/>
      <c r="F22" s="468"/>
      <c r="G22" s="550" t="s">
        <v>22</v>
      </c>
      <c r="H22" s="529"/>
      <c r="I22" s="536">
        <f t="shared" ref="I22:AL22" si="10">I14+I20</f>
        <v>13825672.5</v>
      </c>
      <c r="J22" s="523">
        <f t="shared" si="10"/>
        <v>14158557.561059996</v>
      </c>
      <c r="K22" s="523">
        <f t="shared" si="10"/>
        <v>14499505.916386731</v>
      </c>
      <c r="L22" s="523">
        <f t="shared" si="10"/>
        <v>14848714.093440063</v>
      </c>
      <c r="M22" s="523">
        <f t="shared" si="10"/>
        <v>15206383.439934921</v>
      </c>
      <c r="N22" s="523">
        <f t="shared" si="10"/>
        <v>15572720.242816111</v>
      </c>
      <c r="O22" s="523">
        <f t="shared" si="10"/>
        <v>15936282.984914515</v>
      </c>
      <c r="P22" s="523">
        <f t="shared" si="10"/>
        <v>16308345.429517422</v>
      </c>
      <c r="Q22" s="523">
        <f t="shared" si="10"/>
        <v>16689106.590569239</v>
      </c>
      <c r="R22" s="523">
        <f t="shared" si="10"/>
        <v>17078770.149317592</v>
      </c>
      <c r="S22" s="497">
        <f t="shared" si="10"/>
        <v>17477544.563961025</v>
      </c>
      <c r="T22" s="523">
        <f t="shared" si="10"/>
        <v>17885643.181877416</v>
      </c>
      <c r="U22" s="523">
        <f t="shared" si="10"/>
        <v>18303284.35449383</v>
      </c>
      <c r="V22" s="523">
        <f t="shared" si="10"/>
        <v>18730691.554860286</v>
      </c>
      <c r="W22" s="523">
        <f t="shared" si="10"/>
        <v>19168093.49799107</v>
      </c>
      <c r="X22" s="523">
        <f t="shared" si="10"/>
        <v>19615724.264038913</v>
      </c>
      <c r="Y22" s="523">
        <f t="shared" si="10"/>
        <v>20073823.424368903</v>
      </c>
      <c r="Z22" s="523">
        <f t="shared" si="10"/>
        <v>20542636.170600425</v>
      </c>
      <c r="AA22" s="523">
        <f t="shared" si="10"/>
        <v>21022413.446687214</v>
      </c>
      <c r="AB22" s="523">
        <f t="shared" si="10"/>
        <v>21513412.084107187</v>
      </c>
      <c r="AC22" s="523">
        <f t="shared" si="10"/>
        <v>0</v>
      </c>
      <c r="AD22" s="523">
        <f t="shared" si="10"/>
        <v>0</v>
      </c>
      <c r="AE22" s="523">
        <f t="shared" si="10"/>
        <v>0</v>
      </c>
      <c r="AF22" s="523">
        <f t="shared" si="10"/>
        <v>0</v>
      </c>
      <c r="AG22" s="523">
        <f t="shared" si="10"/>
        <v>0</v>
      </c>
      <c r="AH22" s="523">
        <f t="shared" si="10"/>
        <v>0</v>
      </c>
      <c r="AI22" s="497">
        <f t="shared" si="10"/>
        <v>0</v>
      </c>
      <c r="AJ22" s="523">
        <f t="shared" si="10"/>
        <v>0</v>
      </c>
      <c r="AK22" s="523">
        <f t="shared" si="10"/>
        <v>0</v>
      </c>
      <c r="AL22" s="505">
        <f t="shared" si="10"/>
        <v>0</v>
      </c>
      <c r="AM22" s="468"/>
      <c r="AN22" s="467"/>
      <c r="AQ22" s="545">
        <v>17</v>
      </c>
    </row>
    <row r="23" spans="1:43" ht="15.6">
      <c r="A23" s="495" t="s">
        <v>8</v>
      </c>
      <c r="B23" s="508"/>
      <c r="C23" s="483"/>
      <c r="D23" s="423"/>
      <c r="E23" s="467"/>
      <c r="F23" s="468"/>
      <c r="G23" s="550" t="s">
        <v>23</v>
      </c>
      <c r="H23" s="529"/>
      <c r="I23" s="534">
        <f>I47</f>
        <v>-10068750</v>
      </c>
      <c r="J23" s="417">
        <f t="shared" ref="J23:AL23" si="11">J47</f>
        <v>-9775959.6681131814</v>
      </c>
      <c r="K23" s="417">
        <f t="shared" si="11"/>
        <v>-9467446.4954040423</v>
      </c>
      <c r="L23" s="417">
        <f t="shared" si="11"/>
        <v>-9142366.1653204244</v>
      </c>
      <c r="M23" s="417">
        <f t="shared" si="11"/>
        <v>-8799829.0215113126</v>
      </c>
      <c r="N23" s="417">
        <f t="shared" si="11"/>
        <v>-8438897.6330796536</v>
      </c>
      <c r="O23" s="417">
        <f t="shared" si="11"/>
        <v>-8058584.2290892135</v>
      </c>
      <c r="P23" s="417">
        <f t="shared" si="11"/>
        <v>-7657847.9953044876</v>
      </c>
      <c r="Q23" s="417">
        <f t="shared" si="11"/>
        <v>-7235592.2257655216</v>
      </c>
      <c r="R23" s="417">
        <f t="shared" si="11"/>
        <v>-6790661.3214023132</v>
      </c>
      <c r="S23" s="480">
        <f t="shared" si="11"/>
        <v>-6321837.6274748007</v>
      </c>
      <c r="T23" s="417">
        <f t="shared" si="11"/>
        <v>-5827838.10118338</v>
      </c>
      <c r="U23" s="417">
        <f t="shared" si="11"/>
        <v>-5307310.8003301108</v>
      </c>
      <c r="V23" s="417">
        <f t="shared" si="11"/>
        <v>-4758831.1834210204</v>
      </c>
      <c r="W23" s="417">
        <f t="shared" si="11"/>
        <v>-4180898.2110839123</v>
      </c>
      <c r="X23" s="417">
        <f t="shared" si="11"/>
        <v>-3571930.2381323017</v>
      </c>
      <c r="Y23" s="417">
        <f t="shared" si="11"/>
        <v>-2930260.6850331891</v>
      </c>
      <c r="Z23" s="417">
        <f t="shared" si="11"/>
        <v>-2254133.4769326546</v>
      </c>
      <c r="AA23" s="417">
        <f t="shared" si="11"/>
        <v>-1541698.237757121</v>
      </c>
      <c r="AB23" s="417">
        <f t="shared" si="11"/>
        <v>-791005.22623786132</v>
      </c>
      <c r="AC23" s="417">
        <f t="shared" si="11"/>
        <v>0</v>
      </c>
      <c r="AD23" s="417">
        <f t="shared" si="11"/>
        <v>0</v>
      </c>
      <c r="AE23" s="417">
        <f t="shared" si="11"/>
        <v>0</v>
      </c>
      <c r="AF23" s="417">
        <f t="shared" si="11"/>
        <v>0</v>
      </c>
      <c r="AG23" s="417">
        <f t="shared" si="11"/>
        <v>0</v>
      </c>
      <c r="AH23" s="417">
        <f t="shared" si="11"/>
        <v>0</v>
      </c>
      <c r="AI23" s="480">
        <f t="shared" si="11"/>
        <v>0</v>
      </c>
      <c r="AJ23" s="417">
        <f t="shared" si="11"/>
        <v>0</v>
      </c>
      <c r="AK23" s="417">
        <f t="shared" si="11"/>
        <v>0</v>
      </c>
      <c r="AL23" s="494">
        <f t="shared" si="11"/>
        <v>0</v>
      </c>
      <c r="AM23" s="468"/>
      <c r="AN23" s="467"/>
      <c r="AQ23" s="545">
        <v>18</v>
      </c>
    </row>
    <row r="24" spans="1:43" ht="15.6">
      <c r="A24" s="474" t="s">
        <v>9</v>
      </c>
      <c r="B24" s="478"/>
      <c r="C24" s="565">
        <v>0.5</v>
      </c>
      <c r="D24" s="424"/>
      <c r="E24" s="467"/>
      <c r="F24" s="468"/>
      <c r="G24" s="551" t="s">
        <v>24</v>
      </c>
      <c r="H24" s="528"/>
      <c r="I24" s="534">
        <f>I42</f>
        <v>-75000000</v>
      </c>
      <c r="J24" s="417">
        <f>J42</f>
        <v>-120000000</v>
      </c>
      <c r="K24" s="417">
        <f t="shared" ref="K24:AL24" si="12">K42</f>
        <v>-72000000</v>
      </c>
      <c r="L24" s="417">
        <f t="shared" si="12"/>
        <v>-43200000</v>
      </c>
      <c r="M24" s="417">
        <f t="shared" si="12"/>
        <v>-43200000</v>
      </c>
      <c r="N24" s="417">
        <f t="shared" si="12"/>
        <v>-21600000</v>
      </c>
      <c r="O24" s="417">
        <f t="shared" si="12"/>
        <v>0</v>
      </c>
      <c r="P24" s="417">
        <f t="shared" si="12"/>
        <v>0</v>
      </c>
      <c r="Q24" s="417">
        <f t="shared" si="12"/>
        <v>0</v>
      </c>
      <c r="R24" s="417">
        <f t="shared" si="12"/>
        <v>0</v>
      </c>
      <c r="S24" s="480">
        <f t="shared" si="12"/>
        <v>0</v>
      </c>
      <c r="T24" s="417">
        <f t="shared" si="12"/>
        <v>0</v>
      </c>
      <c r="U24" s="417">
        <f t="shared" si="12"/>
        <v>0</v>
      </c>
      <c r="V24" s="417">
        <f t="shared" si="12"/>
        <v>0</v>
      </c>
      <c r="W24" s="417">
        <f t="shared" si="12"/>
        <v>0</v>
      </c>
      <c r="X24" s="417">
        <f t="shared" si="12"/>
        <v>0</v>
      </c>
      <c r="Y24" s="417">
        <f t="shared" si="12"/>
        <v>0</v>
      </c>
      <c r="Z24" s="417">
        <f t="shared" si="12"/>
        <v>0</v>
      </c>
      <c r="AA24" s="417">
        <f t="shared" si="12"/>
        <v>0</v>
      </c>
      <c r="AB24" s="417">
        <f t="shared" si="12"/>
        <v>0</v>
      </c>
      <c r="AC24" s="417">
        <f t="shared" si="12"/>
        <v>0</v>
      </c>
      <c r="AD24" s="417">
        <f t="shared" si="12"/>
        <v>0</v>
      </c>
      <c r="AE24" s="417">
        <f t="shared" si="12"/>
        <v>0</v>
      </c>
      <c r="AF24" s="417">
        <f t="shared" si="12"/>
        <v>0</v>
      </c>
      <c r="AG24" s="417">
        <f t="shared" si="12"/>
        <v>0</v>
      </c>
      <c r="AH24" s="417">
        <f t="shared" si="12"/>
        <v>0</v>
      </c>
      <c r="AI24" s="480">
        <f t="shared" si="12"/>
        <v>0</v>
      </c>
      <c r="AJ24" s="417">
        <f t="shared" si="12"/>
        <v>0</v>
      </c>
      <c r="AK24" s="417">
        <f t="shared" si="12"/>
        <v>0</v>
      </c>
      <c r="AL24" s="494">
        <f t="shared" si="12"/>
        <v>0</v>
      </c>
      <c r="AM24" s="468"/>
      <c r="AN24" s="467"/>
      <c r="AQ24" s="545">
        <v>19</v>
      </c>
    </row>
    <row r="25" spans="1:43" ht="16.2" thickBot="1">
      <c r="A25" s="470" t="s">
        <v>10</v>
      </c>
      <c r="B25" s="531"/>
      <c r="C25" s="466">
        <f>1-C24</f>
        <v>0.5</v>
      </c>
      <c r="E25" s="467"/>
      <c r="F25" s="468"/>
      <c r="G25" s="443" t="s">
        <v>25</v>
      </c>
      <c r="H25" s="527"/>
      <c r="I25" s="433">
        <f>SUM(I22:I24)</f>
        <v>-71243077.5</v>
      </c>
      <c r="J25" s="434">
        <f t="shared" ref="J25:R25" si="13">SUM(J22:J24)</f>
        <v>-115617402.10705319</v>
      </c>
      <c r="K25" s="434">
        <f t="shared" si="13"/>
        <v>-66967940.579017311</v>
      </c>
      <c r="L25" s="434">
        <f t="shared" si="13"/>
        <v>-37493652.071880363</v>
      </c>
      <c r="M25" s="434">
        <f t="shared" si="13"/>
        <v>-36793445.581576392</v>
      </c>
      <c r="N25" s="434">
        <f t="shared" si="13"/>
        <v>-14466177.390263543</v>
      </c>
      <c r="O25" s="434">
        <f t="shared" si="13"/>
        <v>7877698.7558253016</v>
      </c>
      <c r="P25" s="434">
        <f t="shared" si="13"/>
        <v>8650497.4342129342</v>
      </c>
      <c r="Q25" s="434">
        <f t="shared" si="13"/>
        <v>9453514.3648037165</v>
      </c>
      <c r="R25" s="434">
        <f t="shared" si="13"/>
        <v>10288108.827915279</v>
      </c>
      <c r="S25" s="488">
        <f t="shared" ref="S25:Y25" si="14">SUM(S22:S24)</f>
        <v>11155706.936486226</v>
      </c>
      <c r="T25" s="434">
        <f t="shared" si="14"/>
        <v>12057805.080694035</v>
      </c>
      <c r="U25" s="434">
        <f t="shared" si="14"/>
        <v>12995973.55416372</v>
      </c>
      <c r="V25" s="434">
        <f t="shared" si="14"/>
        <v>13971860.371439267</v>
      </c>
      <c r="W25" s="434">
        <f t="shared" si="14"/>
        <v>14987195.286907159</v>
      </c>
      <c r="X25" s="434">
        <f t="shared" si="14"/>
        <v>16043794.025906611</v>
      </c>
      <c r="Y25" s="434">
        <f t="shared" si="14"/>
        <v>17143562.739335716</v>
      </c>
      <c r="Z25" s="434">
        <f t="shared" ref="Z25:AH25" si="15">SUM(Z22:Z24)</f>
        <v>18288502.693667769</v>
      </c>
      <c r="AA25" s="434">
        <f t="shared" si="15"/>
        <v>19480715.208930094</v>
      </c>
      <c r="AB25" s="434">
        <f t="shared" si="15"/>
        <v>20722406.857869327</v>
      </c>
      <c r="AC25" s="434">
        <f t="shared" si="15"/>
        <v>0</v>
      </c>
      <c r="AD25" s="434">
        <f t="shared" si="15"/>
        <v>0</v>
      </c>
      <c r="AE25" s="434">
        <f t="shared" si="15"/>
        <v>0</v>
      </c>
      <c r="AF25" s="434">
        <f t="shared" si="15"/>
        <v>0</v>
      </c>
      <c r="AG25" s="434">
        <f t="shared" si="15"/>
        <v>0</v>
      </c>
      <c r="AH25" s="434">
        <f t="shared" si="15"/>
        <v>0</v>
      </c>
      <c r="AI25" s="488">
        <f>SUM(AI22:AI24)</f>
        <v>0</v>
      </c>
      <c r="AJ25" s="434">
        <f>SUM(AJ22:AJ24)</f>
        <v>0</v>
      </c>
      <c r="AK25" s="434">
        <f>SUM(AK22:AK24)</f>
        <v>0</v>
      </c>
      <c r="AL25" s="502">
        <f>SUM(AL22:AL24)</f>
        <v>0</v>
      </c>
      <c r="AM25" s="468"/>
      <c r="AN25" s="467"/>
      <c r="AQ25" s="545">
        <v>20</v>
      </c>
    </row>
    <row r="26" spans="1:43" ht="16.2" thickTop="1">
      <c r="A26" s="474" t="s">
        <v>11</v>
      </c>
      <c r="B26" s="478"/>
      <c r="C26" s="593">
        <v>5.3699999999999998E-2</v>
      </c>
      <c r="D26" s="532"/>
      <c r="E26" s="467"/>
      <c r="F26" s="468"/>
      <c r="G26" s="446"/>
      <c r="H26" s="418"/>
      <c r="I26" s="533"/>
      <c r="J26" s="418"/>
      <c r="K26" s="418"/>
      <c r="L26" s="418"/>
      <c r="M26" s="418"/>
      <c r="N26" s="418"/>
      <c r="O26" s="418"/>
      <c r="P26" s="418"/>
      <c r="Q26" s="418"/>
      <c r="R26" s="418"/>
      <c r="S26" s="481"/>
      <c r="T26" s="418"/>
      <c r="U26" s="418"/>
      <c r="V26" s="418"/>
      <c r="W26" s="481"/>
      <c r="X26" s="481"/>
      <c r="Y26" s="481"/>
      <c r="Z26" s="418"/>
      <c r="AA26" s="418"/>
      <c r="AB26" s="418"/>
      <c r="AC26" s="418"/>
      <c r="AD26" s="418"/>
      <c r="AE26" s="418"/>
      <c r="AF26" s="418"/>
      <c r="AG26" s="418"/>
      <c r="AH26" s="418"/>
      <c r="AI26" s="481"/>
      <c r="AJ26" s="418"/>
      <c r="AK26" s="418"/>
      <c r="AL26" s="461"/>
      <c r="AM26" s="468"/>
      <c r="AN26" s="467"/>
      <c r="AQ26" s="545">
        <v>21</v>
      </c>
    </row>
    <row r="27" spans="1:43" ht="15.6">
      <c r="A27" s="474" t="s">
        <v>12</v>
      </c>
      <c r="B27" s="478"/>
      <c r="C27" s="593">
        <v>8.9300000000000004E-2</v>
      </c>
      <c r="D27" s="532"/>
      <c r="E27" s="467"/>
      <c r="F27" s="468"/>
      <c r="G27" s="552" t="s">
        <v>137</v>
      </c>
      <c r="H27" s="418"/>
      <c r="I27" s="534">
        <f>IF($C$22="NO",0,C6*30%)</f>
        <v>112500000</v>
      </c>
      <c r="J27" s="534">
        <v>0</v>
      </c>
      <c r="K27" s="534">
        <v>0</v>
      </c>
      <c r="L27" s="534">
        <v>0</v>
      </c>
      <c r="M27" s="534">
        <v>0</v>
      </c>
      <c r="N27" s="534">
        <v>0</v>
      </c>
      <c r="O27" s="534">
        <v>0</v>
      </c>
      <c r="P27" s="534">
        <v>0</v>
      </c>
      <c r="Q27" s="534">
        <v>0</v>
      </c>
      <c r="R27" s="534">
        <v>0</v>
      </c>
      <c r="S27" s="534">
        <v>0</v>
      </c>
      <c r="T27" s="534">
        <v>0</v>
      </c>
      <c r="U27" s="534">
        <v>0</v>
      </c>
      <c r="V27" s="534">
        <v>0</v>
      </c>
      <c r="W27" s="534">
        <v>0</v>
      </c>
      <c r="X27" s="534">
        <v>0</v>
      </c>
      <c r="Y27" s="534">
        <v>0</v>
      </c>
      <c r="Z27" s="534">
        <v>0</v>
      </c>
      <c r="AA27" s="534">
        <v>0</v>
      </c>
      <c r="AB27" s="534">
        <v>0</v>
      </c>
      <c r="AC27" s="534">
        <v>0</v>
      </c>
      <c r="AD27" s="534">
        <v>0</v>
      </c>
      <c r="AE27" s="534">
        <v>0</v>
      </c>
      <c r="AF27" s="534">
        <v>0</v>
      </c>
      <c r="AG27" s="534">
        <v>0</v>
      </c>
      <c r="AH27" s="534">
        <v>0</v>
      </c>
      <c r="AI27" s="534">
        <v>0</v>
      </c>
      <c r="AJ27" s="534">
        <v>0</v>
      </c>
      <c r="AK27" s="534">
        <v>0</v>
      </c>
      <c r="AL27" s="465">
        <v>0</v>
      </c>
      <c r="AM27" s="468"/>
      <c r="AN27" s="467"/>
      <c r="AQ27" s="545">
        <v>22</v>
      </c>
    </row>
    <row r="28" spans="1:43" ht="15.6">
      <c r="A28" s="470" t="s">
        <v>13</v>
      </c>
      <c r="B28" s="478"/>
      <c r="C28" s="566">
        <v>2.3E-2</v>
      </c>
      <c r="D28" s="532"/>
      <c r="E28" s="467"/>
      <c r="F28" s="468"/>
      <c r="G28" s="552" t="s">
        <v>26</v>
      </c>
      <c r="H28" s="525"/>
      <c r="I28" s="537">
        <f>-MAX(MAX(I25*$C$29,0),0)</f>
        <v>0</v>
      </c>
      <c r="J28" s="537">
        <f t="shared" ref="J28:AL28" si="16">-MAX(MAX(J25*$C$29,0),0)</f>
        <v>0</v>
      </c>
      <c r="K28" s="537">
        <f t="shared" si="16"/>
        <v>0</v>
      </c>
      <c r="L28" s="537">
        <f t="shared" si="16"/>
        <v>0</v>
      </c>
      <c r="M28" s="537">
        <f t="shared" si="16"/>
        <v>0</v>
      </c>
      <c r="N28" s="537">
        <f t="shared" si="16"/>
        <v>0</v>
      </c>
      <c r="O28" s="537">
        <f t="shared" si="16"/>
        <v>-3121144.2470579846</v>
      </c>
      <c r="P28" s="537">
        <f t="shared" si="16"/>
        <v>-3427327.0834351643</v>
      </c>
      <c r="Q28" s="537">
        <f t="shared" si="16"/>
        <v>-3745482.3913352326</v>
      </c>
      <c r="R28" s="537">
        <f t="shared" si="16"/>
        <v>-4076148.7176200338</v>
      </c>
      <c r="S28" s="537">
        <f t="shared" si="16"/>
        <v>-4419891.088235843</v>
      </c>
      <c r="T28" s="537">
        <f t="shared" si="16"/>
        <v>-4777302.3729709769</v>
      </c>
      <c r="U28" s="537">
        <f t="shared" si="16"/>
        <v>-5149004.722159666</v>
      </c>
      <c r="V28" s="537">
        <f t="shared" si="16"/>
        <v>-5535651.0791642377</v>
      </c>
      <c r="W28" s="537">
        <f t="shared" si="16"/>
        <v>-5937926.7726726159</v>
      </c>
      <c r="X28" s="537">
        <f t="shared" si="16"/>
        <v>-6356551.1930641998</v>
      </c>
      <c r="Y28" s="537">
        <f t="shared" si="16"/>
        <v>-6792279.5573248109</v>
      </c>
      <c r="Z28" s="537">
        <f t="shared" si="16"/>
        <v>-7245904.7672311701</v>
      </c>
      <c r="AA28" s="537">
        <f t="shared" si="16"/>
        <v>-7718259.3657781035</v>
      </c>
      <c r="AB28" s="537">
        <f t="shared" si="16"/>
        <v>-8210217.5970878275</v>
      </c>
      <c r="AC28" s="537">
        <f t="shared" si="16"/>
        <v>0</v>
      </c>
      <c r="AD28" s="537">
        <f t="shared" si="16"/>
        <v>0</v>
      </c>
      <c r="AE28" s="537">
        <f t="shared" si="16"/>
        <v>0</v>
      </c>
      <c r="AF28" s="537">
        <f t="shared" si="16"/>
        <v>0</v>
      </c>
      <c r="AG28" s="537">
        <f t="shared" si="16"/>
        <v>0</v>
      </c>
      <c r="AH28" s="537">
        <f t="shared" si="16"/>
        <v>0</v>
      </c>
      <c r="AI28" s="537">
        <f t="shared" si="16"/>
        <v>0</v>
      </c>
      <c r="AJ28" s="537">
        <f t="shared" si="16"/>
        <v>0</v>
      </c>
      <c r="AK28" s="537">
        <f t="shared" si="16"/>
        <v>0</v>
      </c>
      <c r="AL28" s="577">
        <f t="shared" si="16"/>
        <v>0</v>
      </c>
      <c r="AM28" s="468"/>
      <c r="AN28" s="467"/>
      <c r="AQ28" s="545">
        <v>23</v>
      </c>
    </row>
    <row r="29" spans="1:43" ht="15.6">
      <c r="A29" s="474" t="s">
        <v>14</v>
      </c>
      <c r="B29" s="478"/>
      <c r="C29" s="593">
        <v>0.3962</v>
      </c>
      <c r="D29" s="426"/>
      <c r="E29" s="467"/>
      <c r="F29" s="468"/>
      <c r="G29" s="446" t="s">
        <v>27</v>
      </c>
      <c r="H29" s="418"/>
      <c r="I29" s="534">
        <f>I48</f>
        <v>-5452333.9271288086</v>
      </c>
      <c r="J29" s="417">
        <f t="shared" ref="J29:X29" si="17">J48</f>
        <v>-5745124.2590156272</v>
      </c>
      <c r="K29" s="417">
        <f t="shared" si="17"/>
        <v>-6053637.4317247663</v>
      </c>
      <c r="L29" s="417">
        <f t="shared" si="17"/>
        <v>-6378717.7618083842</v>
      </c>
      <c r="M29" s="417">
        <f t="shared" si="17"/>
        <v>-6721254.905617496</v>
      </c>
      <c r="N29" s="417">
        <f t="shared" si="17"/>
        <v>-7082186.294049155</v>
      </c>
      <c r="O29" s="417">
        <f t="shared" si="17"/>
        <v>-7462499.698039595</v>
      </c>
      <c r="P29" s="417">
        <f t="shared" si="17"/>
        <v>-7863235.9318243209</v>
      </c>
      <c r="Q29" s="417">
        <f t="shared" si="17"/>
        <v>-8285491.7013632869</v>
      </c>
      <c r="R29" s="417">
        <f t="shared" si="17"/>
        <v>-8730422.6057264954</v>
      </c>
      <c r="S29" s="480">
        <f t="shared" si="17"/>
        <v>-9199246.299654007</v>
      </c>
      <c r="T29" s="417">
        <f t="shared" si="17"/>
        <v>-9693245.8259454295</v>
      </c>
      <c r="U29" s="417">
        <f t="shared" si="17"/>
        <v>-10213773.126798697</v>
      </c>
      <c r="V29" s="417">
        <f t="shared" si="17"/>
        <v>-10762252.743707787</v>
      </c>
      <c r="W29" s="480">
        <f t="shared" si="17"/>
        <v>-11340185.716044895</v>
      </c>
      <c r="X29" s="480">
        <f t="shared" si="17"/>
        <v>-11949153.688996507</v>
      </c>
      <c r="Y29" s="480">
        <f>Y48</f>
        <v>-12590823.242095619</v>
      </c>
      <c r="Z29" s="417">
        <f t="shared" ref="Z29:AL29" si="18">Z48</f>
        <v>-13266950.450196154</v>
      </c>
      <c r="AA29" s="417">
        <f t="shared" si="18"/>
        <v>-13979385.689371688</v>
      </c>
      <c r="AB29" s="417">
        <f t="shared" si="18"/>
        <v>-14730078.700890947</v>
      </c>
      <c r="AC29" s="417">
        <f t="shared" si="18"/>
        <v>0</v>
      </c>
      <c r="AD29" s="417">
        <f t="shared" si="18"/>
        <v>0</v>
      </c>
      <c r="AE29" s="417">
        <f t="shared" si="18"/>
        <v>0</v>
      </c>
      <c r="AF29" s="417">
        <f t="shared" si="18"/>
        <v>0</v>
      </c>
      <c r="AG29" s="417">
        <f t="shared" si="18"/>
        <v>0</v>
      </c>
      <c r="AH29" s="417">
        <f t="shared" si="18"/>
        <v>0</v>
      </c>
      <c r="AI29" s="480">
        <f t="shared" si="18"/>
        <v>0</v>
      </c>
      <c r="AJ29" s="417">
        <f t="shared" si="18"/>
        <v>0</v>
      </c>
      <c r="AK29" s="417">
        <f t="shared" si="18"/>
        <v>0</v>
      </c>
      <c r="AL29" s="494">
        <f t="shared" si="18"/>
        <v>0</v>
      </c>
      <c r="AM29" s="468"/>
      <c r="AN29" s="467"/>
      <c r="AQ29" s="545">
        <v>24</v>
      </c>
    </row>
    <row r="30" spans="1:43" ht="16.2" thickBot="1">
      <c r="A30" s="470" t="s">
        <v>75</v>
      </c>
      <c r="B30" s="478"/>
      <c r="C30" s="462">
        <v>20</v>
      </c>
      <c r="D30" s="426"/>
      <c r="E30" s="467"/>
      <c r="F30" s="468"/>
      <c r="G30" s="447" t="s">
        <v>40</v>
      </c>
      <c r="H30" s="538"/>
      <c r="I30" s="429">
        <f>I22+I23+I28+I29+I27</f>
        <v>110804588.57287119</v>
      </c>
      <c r="J30" s="430">
        <f t="shared" ref="J30:AL30" si="19">J22+J23+J28+J29+J27</f>
        <v>-1362526.3660688121</v>
      </c>
      <c r="K30" s="430">
        <f t="shared" si="19"/>
        <v>-1021578.0107420776</v>
      </c>
      <c r="L30" s="430">
        <f t="shared" si="19"/>
        <v>-672369.83368874528</v>
      </c>
      <c r="M30" s="430">
        <f t="shared" si="19"/>
        <v>-314700.48719388805</v>
      </c>
      <c r="N30" s="430">
        <f t="shared" si="19"/>
        <v>51636.3156873025</v>
      </c>
      <c r="O30" s="430">
        <f t="shared" si="19"/>
        <v>-2705945.189272278</v>
      </c>
      <c r="P30" s="430">
        <f t="shared" si="19"/>
        <v>-2640065.5810465515</v>
      </c>
      <c r="Q30" s="430">
        <f t="shared" si="19"/>
        <v>-2577459.7278948026</v>
      </c>
      <c r="R30" s="430">
        <f t="shared" si="19"/>
        <v>-2518462.49543125</v>
      </c>
      <c r="S30" s="504">
        <f t="shared" si="19"/>
        <v>-2463430.4514036244</v>
      </c>
      <c r="T30" s="430">
        <f t="shared" si="19"/>
        <v>-2412743.1182223717</v>
      </c>
      <c r="U30" s="430">
        <f t="shared" si="19"/>
        <v>-2366804.2947946424</v>
      </c>
      <c r="V30" s="430">
        <f t="shared" si="19"/>
        <v>-2326043.4514327571</v>
      </c>
      <c r="W30" s="504">
        <f t="shared" si="19"/>
        <v>-2290917.2018103525</v>
      </c>
      <c r="X30" s="504">
        <f t="shared" si="19"/>
        <v>-2261910.8561540954</v>
      </c>
      <c r="Y30" s="504">
        <f t="shared" si="19"/>
        <v>-2239540.0600847155</v>
      </c>
      <c r="Z30" s="430">
        <f t="shared" si="19"/>
        <v>-2224352.5237595551</v>
      </c>
      <c r="AA30" s="430">
        <f t="shared" si="19"/>
        <v>-2216929.846219698</v>
      </c>
      <c r="AB30" s="430">
        <f t="shared" si="19"/>
        <v>-2217889.4401094466</v>
      </c>
      <c r="AC30" s="430">
        <f t="shared" si="19"/>
        <v>0</v>
      </c>
      <c r="AD30" s="430">
        <f t="shared" si="19"/>
        <v>0</v>
      </c>
      <c r="AE30" s="430">
        <f t="shared" si="19"/>
        <v>0</v>
      </c>
      <c r="AF30" s="430">
        <f t="shared" si="19"/>
        <v>0</v>
      </c>
      <c r="AG30" s="430">
        <f t="shared" si="19"/>
        <v>0</v>
      </c>
      <c r="AH30" s="430">
        <f t="shared" si="19"/>
        <v>0</v>
      </c>
      <c r="AI30" s="504">
        <f t="shared" si="19"/>
        <v>0</v>
      </c>
      <c r="AJ30" s="430">
        <f t="shared" si="19"/>
        <v>0</v>
      </c>
      <c r="AK30" s="430">
        <f t="shared" si="19"/>
        <v>0</v>
      </c>
      <c r="AL30" s="485">
        <f t="shared" si="19"/>
        <v>0</v>
      </c>
      <c r="AM30" s="468"/>
      <c r="AN30" s="467"/>
      <c r="AQ30" s="545">
        <v>25</v>
      </c>
    </row>
    <row r="31" spans="1:43" ht="16.2" thickTop="1">
      <c r="A31" s="474" t="s">
        <v>44</v>
      </c>
      <c r="B31" s="420"/>
      <c r="C31" s="500" t="s">
        <v>45</v>
      </c>
      <c r="D31" s="426"/>
      <c r="E31" s="467"/>
      <c r="F31" s="468"/>
      <c r="G31" s="553"/>
      <c r="H31" s="539"/>
      <c r="I31" s="536"/>
      <c r="J31" s="523"/>
      <c r="K31" s="523"/>
      <c r="L31" s="523"/>
      <c r="M31" s="523"/>
      <c r="N31" s="523"/>
      <c r="O31" s="523"/>
      <c r="P31" s="523"/>
      <c r="Q31" s="523"/>
      <c r="R31" s="523"/>
      <c r="S31" s="497"/>
      <c r="T31" s="523"/>
      <c r="U31" s="523"/>
      <c r="V31" s="523"/>
      <c r="W31" s="497"/>
      <c r="X31" s="497"/>
      <c r="Y31" s="497"/>
      <c r="Z31" s="523"/>
      <c r="AA31" s="523"/>
      <c r="AB31" s="523"/>
      <c r="AC31" s="523"/>
      <c r="AD31" s="523"/>
      <c r="AE31" s="523"/>
      <c r="AF31" s="523"/>
      <c r="AG31" s="523"/>
      <c r="AH31" s="523"/>
      <c r="AI31" s="497"/>
      <c r="AJ31" s="523"/>
      <c r="AK31" s="523"/>
      <c r="AL31" s="505"/>
      <c r="AM31" s="468"/>
      <c r="AN31" s="467"/>
      <c r="AQ31" s="545">
        <v>26</v>
      </c>
    </row>
    <row r="32" spans="1:43" ht="15.6">
      <c r="A32" s="470" t="s">
        <v>15</v>
      </c>
      <c r="B32" s="478"/>
      <c r="C32" s="462">
        <v>5</v>
      </c>
      <c r="D32" s="426"/>
      <c r="E32" s="467"/>
      <c r="F32" s="468"/>
      <c r="G32" s="446" t="s">
        <v>28</v>
      </c>
      <c r="H32" s="548"/>
      <c r="I32" s="522">
        <f t="shared" ref="I32:AL32" si="20">IF($C$19&lt;&gt;0,MAX((($C$19+1-I6)/$C$19),0),0)*($C$7*$C$8/100)*(IF(I6&gt;$C$30,0,$C$18))</f>
        <v>20456092.045000017</v>
      </c>
      <c r="J32" s="522">
        <f t="shared" si="20"/>
        <v>16364873.636000015</v>
      </c>
      <c r="K32" s="522">
        <f t="shared" si="20"/>
        <v>12273655.227000009</v>
      </c>
      <c r="L32" s="522">
        <f t="shared" si="20"/>
        <v>8182436.8180000074</v>
      </c>
      <c r="M32" s="522">
        <f t="shared" si="20"/>
        <v>4091218.4090000037</v>
      </c>
      <c r="N32" s="522">
        <f t="shared" si="20"/>
        <v>0</v>
      </c>
      <c r="O32" s="522">
        <f t="shared" si="20"/>
        <v>0</v>
      </c>
      <c r="P32" s="522">
        <f t="shared" si="20"/>
        <v>0</v>
      </c>
      <c r="Q32" s="522">
        <f t="shared" si="20"/>
        <v>0</v>
      </c>
      <c r="R32" s="522">
        <f t="shared" si="20"/>
        <v>0</v>
      </c>
      <c r="S32" s="522">
        <f t="shared" si="20"/>
        <v>0</v>
      </c>
      <c r="T32" s="522">
        <f t="shared" si="20"/>
        <v>0</v>
      </c>
      <c r="U32" s="522">
        <f t="shared" si="20"/>
        <v>0</v>
      </c>
      <c r="V32" s="522">
        <f t="shared" si="20"/>
        <v>0</v>
      </c>
      <c r="W32" s="522">
        <f t="shared" si="20"/>
        <v>0</v>
      </c>
      <c r="X32" s="522">
        <f t="shared" si="20"/>
        <v>0</v>
      </c>
      <c r="Y32" s="522">
        <f t="shared" si="20"/>
        <v>0</v>
      </c>
      <c r="Z32" s="522">
        <f t="shared" si="20"/>
        <v>0</v>
      </c>
      <c r="AA32" s="522">
        <f t="shared" si="20"/>
        <v>0</v>
      </c>
      <c r="AB32" s="522">
        <f t="shared" si="20"/>
        <v>0</v>
      </c>
      <c r="AC32" s="522">
        <f t="shared" si="20"/>
        <v>0</v>
      </c>
      <c r="AD32" s="522">
        <f t="shared" si="20"/>
        <v>0</v>
      </c>
      <c r="AE32" s="522">
        <f t="shared" si="20"/>
        <v>0</v>
      </c>
      <c r="AF32" s="522">
        <f t="shared" si="20"/>
        <v>0</v>
      </c>
      <c r="AG32" s="522">
        <f t="shared" si="20"/>
        <v>0</v>
      </c>
      <c r="AH32" s="522">
        <f t="shared" si="20"/>
        <v>0</v>
      </c>
      <c r="AI32" s="522">
        <f t="shared" si="20"/>
        <v>0</v>
      </c>
      <c r="AJ32" s="522">
        <f t="shared" si="20"/>
        <v>0</v>
      </c>
      <c r="AK32" s="522">
        <f t="shared" si="20"/>
        <v>0</v>
      </c>
      <c r="AL32" s="540">
        <f t="shared" si="20"/>
        <v>0</v>
      </c>
      <c r="AM32" s="468"/>
      <c r="AN32" s="467"/>
      <c r="AQ32" s="545">
        <v>27</v>
      </c>
    </row>
    <row r="33" spans="1:45" ht="15.6">
      <c r="A33" s="495" t="s">
        <v>4</v>
      </c>
      <c r="B33" s="508"/>
      <c r="C33" s="483"/>
      <c r="D33" s="426"/>
      <c r="E33" s="467"/>
      <c r="F33" s="468"/>
      <c r="G33" s="591" t="s">
        <v>26</v>
      </c>
      <c r="H33" s="548"/>
      <c r="I33" s="522">
        <f t="shared" ref="I33:AL33" si="21">IF($C$21="NO",0,-I32*$C$29)</f>
        <v>-8104703.6682290062</v>
      </c>
      <c r="J33" s="522">
        <f t="shared" si="21"/>
        <v>-6483762.9345832057</v>
      </c>
      <c r="K33" s="522">
        <f t="shared" si="21"/>
        <v>-4862822.2009374034</v>
      </c>
      <c r="L33" s="522">
        <f t="shared" si="21"/>
        <v>-3241881.4672916029</v>
      </c>
      <c r="M33" s="522">
        <f t="shared" si="21"/>
        <v>-1620940.7336458014</v>
      </c>
      <c r="N33" s="522">
        <f t="shared" si="21"/>
        <v>0</v>
      </c>
      <c r="O33" s="522">
        <f t="shared" si="21"/>
        <v>0</v>
      </c>
      <c r="P33" s="522">
        <f t="shared" si="21"/>
        <v>0</v>
      </c>
      <c r="Q33" s="522">
        <f t="shared" si="21"/>
        <v>0</v>
      </c>
      <c r="R33" s="522">
        <f t="shared" si="21"/>
        <v>0</v>
      </c>
      <c r="S33" s="522">
        <f t="shared" si="21"/>
        <v>0</v>
      </c>
      <c r="T33" s="522">
        <f t="shared" si="21"/>
        <v>0</v>
      </c>
      <c r="U33" s="522">
        <f t="shared" si="21"/>
        <v>0</v>
      </c>
      <c r="V33" s="522">
        <f t="shared" si="21"/>
        <v>0</v>
      </c>
      <c r="W33" s="522">
        <f t="shared" si="21"/>
        <v>0</v>
      </c>
      <c r="X33" s="522">
        <f t="shared" si="21"/>
        <v>0</v>
      </c>
      <c r="Y33" s="522">
        <f t="shared" si="21"/>
        <v>0</v>
      </c>
      <c r="Z33" s="522">
        <f t="shared" si="21"/>
        <v>0</v>
      </c>
      <c r="AA33" s="522">
        <f t="shared" si="21"/>
        <v>0</v>
      </c>
      <c r="AB33" s="522">
        <f t="shared" si="21"/>
        <v>0</v>
      </c>
      <c r="AC33" s="522">
        <f t="shared" si="21"/>
        <v>0</v>
      </c>
      <c r="AD33" s="522">
        <f t="shared" si="21"/>
        <v>0</v>
      </c>
      <c r="AE33" s="522">
        <f t="shared" si="21"/>
        <v>0</v>
      </c>
      <c r="AF33" s="522">
        <f t="shared" si="21"/>
        <v>0</v>
      </c>
      <c r="AG33" s="522">
        <f t="shared" si="21"/>
        <v>0</v>
      </c>
      <c r="AH33" s="522">
        <f t="shared" si="21"/>
        <v>0</v>
      </c>
      <c r="AI33" s="522">
        <f t="shared" si="21"/>
        <v>0</v>
      </c>
      <c r="AJ33" s="522">
        <f t="shared" si="21"/>
        <v>0</v>
      </c>
      <c r="AK33" s="522">
        <f t="shared" si="21"/>
        <v>0</v>
      </c>
      <c r="AL33" s="540">
        <f t="shared" si="21"/>
        <v>0</v>
      </c>
      <c r="AM33" s="468"/>
      <c r="AN33" s="467"/>
      <c r="AQ33" s="545">
        <v>28</v>
      </c>
    </row>
    <row r="34" spans="1:45" ht="16.2" thickBot="1">
      <c r="A34" s="474" t="s">
        <v>5</v>
      </c>
      <c r="B34" s="530" t="s">
        <v>89</v>
      </c>
      <c r="C34" s="567">
        <f>1%*C6</f>
        <v>3750000</v>
      </c>
      <c r="E34" s="467"/>
      <c r="F34" s="468"/>
      <c r="G34" s="447" t="s">
        <v>41</v>
      </c>
      <c r="H34" s="538"/>
      <c r="I34" s="431">
        <f>I32+I30+I33</f>
        <v>123155976.94964221</v>
      </c>
      <c r="J34" s="432">
        <f t="shared" ref="J34:AL34" si="22">J32+J30+J33</f>
        <v>8518584.335347997</v>
      </c>
      <c r="K34" s="432">
        <f t="shared" si="22"/>
        <v>6389255.0153205283</v>
      </c>
      <c r="L34" s="432">
        <f t="shared" si="22"/>
        <v>4268185.5170196593</v>
      </c>
      <c r="M34" s="432">
        <f t="shared" si="22"/>
        <v>2155577.1881603142</v>
      </c>
      <c r="N34" s="432">
        <f>N32+N30+N33</f>
        <v>51636.3156873025</v>
      </c>
      <c r="O34" s="432">
        <f t="shared" si="22"/>
        <v>-2705945.189272278</v>
      </c>
      <c r="P34" s="432">
        <f t="shared" si="22"/>
        <v>-2640065.5810465515</v>
      </c>
      <c r="Q34" s="432">
        <f t="shared" si="22"/>
        <v>-2577459.7278948026</v>
      </c>
      <c r="R34" s="432">
        <f t="shared" si="22"/>
        <v>-2518462.49543125</v>
      </c>
      <c r="S34" s="501">
        <f t="shared" si="22"/>
        <v>-2463430.4514036244</v>
      </c>
      <c r="T34" s="432">
        <f t="shared" si="22"/>
        <v>-2412743.1182223717</v>
      </c>
      <c r="U34" s="432">
        <f t="shared" si="22"/>
        <v>-2366804.2947946424</v>
      </c>
      <c r="V34" s="432">
        <f t="shared" si="22"/>
        <v>-2326043.4514327571</v>
      </c>
      <c r="W34" s="501">
        <f t="shared" si="22"/>
        <v>-2290917.2018103525</v>
      </c>
      <c r="X34" s="501">
        <f t="shared" si="22"/>
        <v>-2261910.8561540954</v>
      </c>
      <c r="Y34" s="501">
        <f t="shared" si="22"/>
        <v>-2239540.0600847155</v>
      </c>
      <c r="Z34" s="432">
        <f t="shared" si="22"/>
        <v>-2224352.5237595551</v>
      </c>
      <c r="AA34" s="432">
        <f t="shared" si="22"/>
        <v>-2216929.846219698</v>
      </c>
      <c r="AB34" s="432">
        <f t="shared" si="22"/>
        <v>-2217889.4401094466</v>
      </c>
      <c r="AC34" s="432">
        <f t="shared" si="22"/>
        <v>0</v>
      </c>
      <c r="AD34" s="432">
        <f t="shared" si="22"/>
        <v>0</v>
      </c>
      <c r="AE34" s="432">
        <f t="shared" si="22"/>
        <v>0</v>
      </c>
      <c r="AF34" s="432">
        <f t="shared" si="22"/>
        <v>0</v>
      </c>
      <c r="AG34" s="432">
        <f t="shared" si="22"/>
        <v>0</v>
      </c>
      <c r="AH34" s="432">
        <f t="shared" si="22"/>
        <v>0</v>
      </c>
      <c r="AI34" s="501">
        <f t="shared" si="22"/>
        <v>0</v>
      </c>
      <c r="AJ34" s="432">
        <f t="shared" si="22"/>
        <v>0</v>
      </c>
      <c r="AK34" s="432">
        <f t="shared" si="22"/>
        <v>0</v>
      </c>
      <c r="AL34" s="498">
        <f t="shared" si="22"/>
        <v>0</v>
      </c>
      <c r="AM34" s="468"/>
      <c r="AN34" s="467"/>
      <c r="AQ34" s="545">
        <v>29</v>
      </c>
    </row>
    <row r="35" spans="1:45" ht="16.2" thickTop="1">
      <c r="A35" s="474" t="s">
        <v>6</v>
      </c>
      <c r="B35" s="530" t="s">
        <v>89</v>
      </c>
      <c r="C35" s="567">
        <v>0</v>
      </c>
      <c r="E35" s="467"/>
      <c r="F35" s="468"/>
      <c r="G35" s="553"/>
      <c r="H35" s="539"/>
      <c r="I35" s="537"/>
      <c r="J35" s="522"/>
      <c r="K35" s="522"/>
      <c r="L35" s="522"/>
      <c r="M35" s="522"/>
      <c r="N35" s="522"/>
      <c r="O35" s="522"/>
      <c r="P35" s="522"/>
      <c r="Q35" s="522"/>
      <c r="R35" s="522"/>
      <c r="S35" s="490"/>
      <c r="T35" s="522"/>
      <c r="U35" s="522"/>
      <c r="V35" s="522"/>
      <c r="W35" s="490"/>
      <c r="X35" s="490"/>
      <c r="Y35" s="490"/>
      <c r="Z35" s="522"/>
      <c r="AA35" s="522"/>
      <c r="AB35" s="522"/>
      <c r="AC35" s="522"/>
      <c r="AD35" s="522"/>
      <c r="AE35" s="522"/>
      <c r="AF35" s="522"/>
      <c r="AG35" s="522"/>
      <c r="AH35" s="522"/>
      <c r="AI35" s="490"/>
      <c r="AJ35" s="522"/>
      <c r="AK35" s="522"/>
      <c r="AL35" s="540"/>
      <c r="AM35" s="468"/>
      <c r="AN35" s="467"/>
      <c r="AQ35" s="545">
        <v>30</v>
      </c>
    </row>
    <row r="36" spans="1:45" ht="16.2" thickBot="1">
      <c r="A36" s="474" t="s">
        <v>7</v>
      </c>
      <c r="B36" s="530" t="s">
        <v>89</v>
      </c>
      <c r="C36" s="567">
        <v>0</v>
      </c>
      <c r="D36" s="425"/>
      <c r="E36" s="467"/>
      <c r="F36" s="468"/>
      <c r="G36" s="446" t="s">
        <v>38</v>
      </c>
      <c r="H36" s="549"/>
      <c r="I36" s="427">
        <f t="shared" ref="I36:AL36" si="23">IF(I6&gt;$C$30,0,(I30)/(1+$C$27)^(I6-0.5))</f>
        <v>106165642.81842479</v>
      </c>
      <c r="J36" s="427">
        <f t="shared" si="23"/>
        <v>-1198460.3201909303</v>
      </c>
      <c r="K36" s="427">
        <f t="shared" si="23"/>
        <v>-824902.79890858906</v>
      </c>
      <c r="L36" s="427">
        <f t="shared" si="23"/>
        <v>-498415.97948014521</v>
      </c>
      <c r="M36" s="427">
        <f t="shared" si="23"/>
        <v>-214157.67776874817</v>
      </c>
      <c r="N36" s="427">
        <f t="shared" si="23"/>
        <v>32258.485752748409</v>
      </c>
      <c r="O36" s="427">
        <f t="shared" si="23"/>
        <v>-1551887.4527832007</v>
      </c>
      <c r="P36" s="427">
        <f t="shared" si="23"/>
        <v>-1389979.6369488777</v>
      </c>
      <c r="Q36" s="427">
        <f t="shared" si="23"/>
        <v>-1245770.6861260606</v>
      </c>
      <c r="R36" s="427">
        <f t="shared" si="23"/>
        <v>-1117465.704393341</v>
      </c>
      <c r="S36" s="427">
        <f t="shared" si="23"/>
        <v>-1003440.2499901645</v>
      </c>
      <c r="T36" s="427">
        <f t="shared" si="23"/>
        <v>-902224.86888318381</v>
      </c>
      <c r="U36" s="427">
        <f t="shared" si="23"/>
        <v>-812490.98931807815</v>
      </c>
      <c r="V36" s="427">
        <f t="shared" si="23"/>
        <v>-733038.06006071414</v>
      </c>
      <c r="W36" s="427">
        <f t="shared" si="23"/>
        <v>-662781.82499693206</v>
      </c>
      <c r="X36" s="427">
        <f t="shared" si="23"/>
        <v>-600743.63588749978</v>
      </c>
      <c r="Y36" s="427">
        <f t="shared" si="23"/>
        <v>-546040.71343366662</v>
      </c>
      <c r="Z36" s="427">
        <f t="shared" si="23"/>
        <v>-497877.2744637655</v>
      </c>
      <c r="AA36" s="427">
        <f t="shared" si="23"/>
        <v>-455536.45006101887</v>
      </c>
      <c r="AB36" s="427">
        <f t="shared" si="23"/>
        <v>-418372.9258712962</v>
      </c>
      <c r="AC36" s="427">
        <f t="shared" si="23"/>
        <v>0</v>
      </c>
      <c r="AD36" s="427">
        <f t="shared" si="23"/>
        <v>0</v>
      </c>
      <c r="AE36" s="427">
        <f t="shared" si="23"/>
        <v>0</v>
      </c>
      <c r="AF36" s="427">
        <f t="shared" si="23"/>
        <v>0</v>
      </c>
      <c r="AG36" s="427">
        <f t="shared" si="23"/>
        <v>0</v>
      </c>
      <c r="AH36" s="427">
        <f t="shared" si="23"/>
        <v>0</v>
      </c>
      <c r="AI36" s="427">
        <f t="shared" si="23"/>
        <v>0</v>
      </c>
      <c r="AJ36" s="427">
        <f t="shared" si="23"/>
        <v>0</v>
      </c>
      <c r="AK36" s="427">
        <f t="shared" si="23"/>
        <v>0</v>
      </c>
      <c r="AL36" s="499">
        <f t="shared" si="23"/>
        <v>0</v>
      </c>
      <c r="AM36" s="468"/>
      <c r="AN36" s="467"/>
    </row>
    <row r="37" spans="1:45" ht="16.8" thickTop="1" thickBot="1">
      <c r="A37" s="474" t="s">
        <v>139</v>
      </c>
      <c r="B37" s="530" t="s">
        <v>89</v>
      </c>
      <c r="C37" s="567">
        <v>0</v>
      </c>
      <c r="D37" s="425"/>
      <c r="E37" s="467"/>
      <c r="F37" s="468"/>
      <c r="G37" s="446" t="s">
        <v>39</v>
      </c>
      <c r="H37" s="549"/>
      <c r="I37" s="427">
        <f t="shared" ref="I37:AL37" si="24">IF(I6&gt;$C$30,0,(I34)/(1+$C$27)^(I6-0.5))</f>
        <v>117999927.8747475</v>
      </c>
      <c r="J37" s="427">
        <f t="shared" si="24"/>
        <v>7492835.0484477943</v>
      </c>
      <c r="K37" s="427">
        <f t="shared" si="24"/>
        <v>5159189.3028806727</v>
      </c>
      <c r="L37" s="427">
        <f t="shared" si="24"/>
        <v>3163931.1558601423</v>
      </c>
      <c r="M37" s="427">
        <f t="shared" si="24"/>
        <v>1466897.6492028334</v>
      </c>
      <c r="N37" s="427">
        <f t="shared" si="24"/>
        <v>32258.485752748409</v>
      </c>
      <c r="O37" s="427">
        <f t="shared" si="24"/>
        <v>-1551887.4527832007</v>
      </c>
      <c r="P37" s="427">
        <f t="shared" si="24"/>
        <v>-1389979.6369488777</v>
      </c>
      <c r="Q37" s="427">
        <f t="shared" si="24"/>
        <v>-1245770.6861260606</v>
      </c>
      <c r="R37" s="427">
        <f t="shared" si="24"/>
        <v>-1117465.704393341</v>
      </c>
      <c r="S37" s="427">
        <f t="shared" si="24"/>
        <v>-1003440.2499901645</v>
      </c>
      <c r="T37" s="427">
        <f t="shared" si="24"/>
        <v>-902224.86888318381</v>
      </c>
      <c r="U37" s="427">
        <f t="shared" si="24"/>
        <v>-812490.98931807815</v>
      </c>
      <c r="V37" s="427">
        <f t="shared" si="24"/>
        <v>-733038.06006071414</v>
      </c>
      <c r="W37" s="427">
        <f t="shared" si="24"/>
        <v>-662781.82499693206</v>
      </c>
      <c r="X37" s="427">
        <f t="shared" si="24"/>
        <v>-600743.63588749978</v>
      </c>
      <c r="Y37" s="427">
        <f t="shared" si="24"/>
        <v>-546040.71343366662</v>
      </c>
      <c r="Z37" s="427">
        <f t="shared" si="24"/>
        <v>-497877.2744637655</v>
      </c>
      <c r="AA37" s="427">
        <f t="shared" si="24"/>
        <v>-455536.45006101887</v>
      </c>
      <c r="AB37" s="427">
        <f t="shared" si="24"/>
        <v>-418372.9258712962</v>
      </c>
      <c r="AC37" s="427">
        <f t="shared" si="24"/>
        <v>0</v>
      </c>
      <c r="AD37" s="427">
        <f t="shared" si="24"/>
        <v>0</v>
      </c>
      <c r="AE37" s="427">
        <f t="shared" si="24"/>
        <v>0</v>
      </c>
      <c r="AF37" s="427">
        <f t="shared" si="24"/>
        <v>0</v>
      </c>
      <c r="AG37" s="427">
        <f t="shared" si="24"/>
        <v>0</v>
      </c>
      <c r="AH37" s="427">
        <f t="shared" si="24"/>
        <v>0</v>
      </c>
      <c r="AI37" s="427">
        <f t="shared" si="24"/>
        <v>0</v>
      </c>
      <c r="AJ37" s="427">
        <f t="shared" si="24"/>
        <v>0</v>
      </c>
      <c r="AK37" s="427">
        <f t="shared" si="24"/>
        <v>0</v>
      </c>
      <c r="AL37" s="499">
        <f t="shared" si="24"/>
        <v>0</v>
      </c>
      <c r="AM37" s="468"/>
      <c r="AN37" s="467"/>
    </row>
    <row r="38" spans="1:45" ht="16.8" thickTop="1" thickBot="1">
      <c r="A38" s="495" t="s">
        <v>35</v>
      </c>
      <c r="B38" s="575"/>
      <c r="C38" s="419"/>
      <c r="D38" s="425"/>
      <c r="E38" s="467"/>
      <c r="F38" s="468"/>
      <c r="G38" s="448"/>
      <c r="H38" s="449"/>
      <c r="I38" s="449"/>
      <c r="J38" s="449"/>
      <c r="K38" s="449"/>
      <c r="L38" s="449"/>
      <c r="M38" s="449"/>
      <c r="N38" s="449"/>
      <c r="O38" s="449"/>
      <c r="P38" s="449"/>
      <c r="Q38" s="449"/>
      <c r="R38" s="449"/>
      <c r="S38" s="479"/>
      <c r="T38" s="481"/>
      <c r="U38" s="481"/>
      <c r="V38" s="481"/>
      <c r="W38" s="481"/>
      <c r="X38" s="481"/>
      <c r="Y38" s="481"/>
      <c r="Z38" s="481"/>
      <c r="AA38" s="481"/>
      <c r="AB38" s="481"/>
      <c r="AC38" s="481"/>
      <c r="AD38" s="481"/>
      <c r="AE38" s="481"/>
      <c r="AF38" s="481"/>
      <c r="AG38" s="481"/>
      <c r="AH38" s="481"/>
      <c r="AI38" s="481"/>
      <c r="AJ38" s="481"/>
      <c r="AK38" s="481"/>
      <c r="AL38" s="459"/>
      <c r="AM38" s="468"/>
      <c r="AN38" s="467"/>
      <c r="AQ38" s="545" t="s">
        <v>99</v>
      </c>
    </row>
    <row r="39" spans="1:45" ht="16.2" thickBot="1">
      <c r="A39" s="474" t="s">
        <v>90</v>
      </c>
      <c r="B39" s="519"/>
      <c r="C39" s="566">
        <f>((1+C26)/(1+C$28))-1</f>
        <v>3.0009775171065733E-2</v>
      </c>
      <c r="E39" s="467"/>
      <c r="F39" s="468"/>
      <c r="G39" s="487" t="s">
        <v>24</v>
      </c>
      <c r="H39" s="492"/>
      <c r="I39" s="492"/>
      <c r="J39" s="492"/>
      <c r="K39" s="492"/>
      <c r="L39" s="492"/>
      <c r="M39" s="492"/>
      <c r="N39" s="492"/>
      <c r="O39" s="492"/>
      <c r="P39" s="492"/>
      <c r="Q39" s="492"/>
      <c r="R39" s="492"/>
      <c r="S39" s="492"/>
      <c r="T39" s="492"/>
      <c r="U39" s="492"/>
      <c r="V39" s="492"/>
      <c r="W39" s="492"/>
      <c r="X39" s="492"/>
      <c r="Y39" s="492"/>
      <c r="Z39" s="492"/>
      <c r="AA39" s="492"/>
      <c r="AB39" s="492"/>
      <c r="AC39" s="492"/>
      <c r="AD39" s="492"/>
      <c r="AE39" s="492"/>
      <c r="AF39" s="492"/>
      <c r="AG39" s="492"/>
      <c r="AH39" s="492"/>
      <c r="AI39" s="492"/>
      <c r="AJ39" s="492"/>
      <c r="AK39" s="492"/>
      <c r="AL39" s="493"/>
      <c r="AM39" s="468"/>
      <c r="AN39" s="467"/>
      <c r="AQ39" s="572">
        <f>'ICAP Price&amp;Impact'!N31</f>
        <v>-6.6769999999999998E-3</v>
      </c>
    </row>
    <row r="40" spans="1:45" ht="15.6">
      <c r="A40" s="474" t="s">
        <v>91</v>
      </c>
      <c r="B40" s="519"/>
      <c r="C40" s="566">
        <f>((1+C27)/(1+C$28))-1</f>
        <v>6.4809384164222994E-2</v>
      </c>
      <c r="E40" s="467"/>
      <c r="F40" s="468"/>
      <c r="G40" s="453" t="s">
        <v>43</v>
      </c>
      <c r="H40" s="555"/>
      <c r="I40" s="516">
        <f>IF($C$31="MACRS",VLOOKUP($C$32,'Depreciation Tables'!$B$35:$AF$40,I6+1),IF($C$31="StraightLine",VLOOKUP($C$32,'Depreciation Tables'!$B$3:$AF$32,I6+1),VLOOKUP($C$32,'Depreciation Tables'!$B$43:$AF$44,I6+1)))</f>
        <v>0.2</v>
      </c>
      <c r="J40" s="516">
        <f>IF($C$31="MACRS",VLOOKUP($C$32,'Depreciation Tables'!$B$35:$AF$40,J6+1),IF($C$31="StraightLine",VLOOKUP($C$32,'Depreciation Tables'!$B$3:$AF$32,J6+1),VLOOKUP($C$32,'Depreciation Tables'!$B$43:$AF$44,J6+1)))</f>
        <v>0.32</v>
      </c>
      <c r="K40" s="516">
        <f>IF($C$31="MACRS",VLOOKUP($C$32,'Depreciation Tables'!$B$35:$AF$40,K6+1),IF($C$31="StraightLine",VLOOKUP($C$32,'Depreciation Tables'!$B$3:$AF$32,K6+1),VLOOKUP($C$32,'Depreciation Tables'!$B$43:$AF$44,K6+1)))</f>
        <v>0.192</v>
      </c>
      <c r="L40" s="516">
        <f>IF($C$31="MACRS",VLOOKUP($C$32,'Depreciation Tables'!$B$35:$AF$40,L6+1),IF($C$31="StraightLine",VLOOKUP($C$32,'Depreciation Tables'!$B$3:$AF$32,L6+1),VLOOKUP($C$32,'Depreciation Tables'!$B$43:$AF$44,L6+1)))</f>
        <v>0.1152</v>
      </c>
      <c r="M40" s="516">
        <f>IF($C$31="MACRS",VLOOKUP($C$32,'Depreciation Tables'!$B$35:$AF$40,M6+1),IF($C$31="StraightLine",VLOOKUP($C$32,'Depreciation Tables'!$B$3:$AF$32,M6+1),VLOOKUP($C$32,'Depreciation Tables'!$B$43:$AF$44,M6+1)))</f>
        <v>0.1152</v>
      </c>
      <c r="N40" s="516">
        <f>IF($C$31="MACRS",VLOOKUP($C$32,'Depreciation Tables'!$B$35:$AF$40,N6+1),IF($C$31="StraightLine",VLOOKUP($C$32,'Depreciation Tables'!$B$3:$AF$32,N6+1),VLOOKUP($C$32,'Depreciation Tables'!$B$43:$AF$44,N6+1)))</f>
        <v>5.7599999999999998E-2</v>
      </c>
      <c r="O40" s="516">
        <f>IF($C$31="MACRS",VLOOKUP($C$32,'Depreciation Tables'!$B$35:$AF$40,O6+1),IF($C$31="StraightLine",VLOOKUP($C$32,'Depreciation Tables'!$B$3:$AF$32,O6+1),VLOOKUP($C$32,'Depreciation Tables'!$B$43:$AF$44,O6+1)))</f>
        <v>0</v>
      </c>
      <c r="P40" s="516">
        <f>IF($C$31="MACRS",VLOOKUP($C$32,'Depreciation Tables'!$B$35:$AF$40,P6+1),IF($C$31="StraightLine",VLOOKUP($C$32,'Depreciation Tables'!$B$3:$AF$32,P6+1),VLOOKUP($C$32,'Depreciation Tables'!$B$43:$AF$44,P6+1)))</f>
        <v>0</v>
      </c>
      <c r="Q40" s="516">
        <f>IF($C$31="MACRS",VLOOKUP($C$32,'Depreciation Tables'!$B$35:$AF$40,Q6+1),IF($C$31="StraightLine",VLOOKUP($C$32,'Depreciation Tables'!$B$3:$AF$32,Q6+1),VLOOKUP($C$32,'Depreciation Tables'!$B$43:$AF$44,Q6+1)))</f>
        <v>0</v>
      </c>
      <c r="R40" s="516">
        <f>IF($C$31="MACRS",VLOOKUP($C$32,'Depreciation Tables'!$B$35:$AF$40,R6+1),IF($C$31="StraightLine",VLOOKUP($C$32,'Depreciation Tables'!$B$3:$AF$32,R6+1),VLOOKUP($C$32,'Depreciation Tables'!$B$43:$AF$44,R6+1)))</f>
        <v>0</v>
      </c>
      <c r="S40" s="516">
        <f>IF($C$31="MACRS",VLOOKUP($C$32,'Depreciation Tables'!$B$35:$AF$40,S6+1),IF($C$31="StraightLine",VLOOKUP($C$32,'Depreciation Tables'!$B$3:$AF$32,S6+1),VLOOKUP($C$32,'Depreciation Tables'!$B$43:$AF$44,S6+1)))</f>
        <v>0</v>
      </c>
      <c r="T40" s="516">
        <f>IF($C$31="MACRS",VLOOKUP($C$32,'Depreciation Tables'!$B$35:$AF$40,T6+1),IF($C$31="StraightLine",VLOOKUP($C$32,'Depreciation Tables'!$B$3:$AF$32,T6+1),VLOOKUP($C$32,'Depreciation Tables'!$B$43:$AF$44,T6+1)))</f>
        <v>0</v>
      </c>
      <c r="U40" s="516">
        <f>IF($C$31="MACRS",VLOOKUP($C$32,'Depreciation Tables'!$B$35:$AF$40,U6+1),IF($C$31="StraightLine",VLOOKUP($C$32,'Depreciation Tables'!$B$3:$AF$32,U6+1),VLOOKUP($C$32,'Depreciation Tables'!$B$43:$AF$44,U6+1)))</f>
        <v>0</v>
      </c>
      <c r="V40" s="516">
        <f>IF($C$31="MACRS",VLOOKUP($C$32,'Depreciation Tables'!$B$35:$AF$40,V6+1),IF($C$31="StraightLine",VLOOKUP($C$32,'Depreciation Tables'!$B$3:$AF$32,V6+1),VLOOKUP($C$32,'Depreciation Tables'!$B$43:$AF$44,V6+1)))</f>
        <v>0</v>
      </c>
      <c r="W40" s="516">
        <f>IF($C$31="MACRS",VLOOKUP($C$32,'Depreciation Tables'!$B$35:$AF$40,W6+1),IF($C$31="StraightLine",VLOOKUP($C$32,'Depreciation Tables'!$B$3:$AF$32,W6+1),VLOOKUP($C$32,'Depreciation Tables'!$B$43:$AF$44,W6+1)))</f>
        <v>0</v>
      </c>
      <c r="X40" s="516">
        <f>IF($C$31="MACRS",VLOOKUP($C$32,'Depreciation Tables'!$B$35:$AF$40,X6+1),IF($C$31="StraightLine",VLOOKUP($C$32,'Depreciation Tables'!$B$3:$AF$32,X6+1),VLOOKUP($C$32,'Depreciation Tables'!$B$43:$AF$44,X6+1)))</f>
        <v>0</v>
      </c>
      <c r="Y40" s="516">
        <f>IF($C$31="MACRS",VLOOKUP($C$32,'Depreciation Tables'!$B$35:$AF$40,Y6+1),IF($C$31="StraightLine",VLOOKUP($C$32,'Depreciation Tables'!$B$3:$AF$32,Y6+1),VLOOKUP($C$32,'Depreciation Tables'!$B$43:$AF$44,Y6+1)))</f>
        <v>0</v>
      </c>
      <c r="Z40" s="516">
        <f>IF($C$31="MACRS",VLOOKUP($C$32,'Depreciation Tables'!$B$35:$AF$40,Z6+1),IF($C$31="StraightLine",VLOOKUP($C$32,'Depreciation Tables'!$B$3:$AF$32,Z6+1),VLOOKUP($C$32,'Depreciation Tables'!$B$43:$AF$44,Z6+1)))</f>
        <v>0</v>
      </c>
      <c r="AA40" s="516">
        <f>IF($C$31="MACRS",VLOOKUP($C$32,'Depreciation Tables'!$B$35:$AF$40,AA6+1),IF($C$31="StraightLine",VLOOKUP($C$32,'Depreciation Tables'!$B$3:$AF$32,AA6+1),VLOOKUP($C$32,'Depreciation Tables'!$B$43:$AF$44,AA6+1)))</f>
        <v>0</v>
      </c>
      <c r="AB40" s="516">
        <f>IF($C$31="MACRS",VLOOKUP($C$32,'Depreciation Tables'!$B$35:$AF$40,AB6+1),IF($C$31="StraightLine",VLOOKUP($C$32,'Depreciation Tables'!$B$3:$AF$32,AB6+1),VLOOKUP($C$32,'Depreciation Tables'!$B$43:$AF$44,AB6+1)))</f>
        <v>0</v>
      </c>
      <c r="AC40" s="516">
        <f>IF($C$31="MACRS",VLOOKUP($C$32,'Depreciation Tables'!$B$35:$AF$40,AC6+1),IF($C$31="StraightLine",VLOOKUP($C$32,'Depreciation Tables'!$B$3:$AF$32,AC6+1),VLOOKUP($C$32,'Depreciation Tables'!$B$43:$AF$44,AC6+1)))</f>
        <v>0</v>
      </c>
      <c r="AD40" s="516">
        <f>IF($C$31="MACRS",VLOOKUP($C$32,'Depreciation Tables'!$B$35:$AF$40,AD6+1),IF($C$31="StraightLine",VLOOKUP($C$32,'Depreciation Tables'!$B$3:$AF$32,AD6+1),VLOOKUP($C$32,'Depreciation Tables'!$B$43:$AF$44,AD6+1)))</f>
        <v>0</v>
      </c>
      <c r="AE40" s="516">
        <f>IF($C$31="MACRS",VLOOKUP($C$32,'Depreciation Tables'!$B$35:$AF$40,AE6+1),IF($C$31="StraightLine",VLOOKUP($C$32,'Depreciation Tables'!$B$3:$AF$32,AE6+1),VLOOKUP($C$32,'Depreciation Tables'!$B$43:$AF$44,AE6+1)))</f>
        <v>0</v>
      </c>
      <c r="AF40" s="516">
        <f>IF($C$31="MACRS",VLOOKUP($C$32,'Depreciation Tables'!$B$35:$AF$40,AF6+1),IF($C$31="StraightLine",VLOOKUP($C$32,'Depreciation Tables'!$B$3:$AF$32,AF6+1),VLOOKUP($C$32,'Depreciation Tables'!$B$43:$AF$44,AF6+1)))</f>
        <v>0</v>
      </c>
      <c r="AG40" s="516">
        <f>IF($C$31="MACRS",VLOOKUP($C$32,'Depreciation Tables'!$B$35:$AF$40,AG6+1),IF($C$31="StraightLine",VLOOKUP($C$32,'Depreciation Tables'!$B$3:$AF$32,AG6+1),VLOOKUP($C$32,'Depreciation Tables'!$B$43:$AF$44,AG6+1)))</f>
        <v>0</v>
      </c>
      <c r="AH40" s="516">
        <f>IF($C$31="MACRS",VLOOKUP($C$32,'Depreciation Tables'!$B$35:$AF$40,AH6+1),IF($C$31="StraightLine",VLOOKUP($C$32,'Depreciation Tables'!$B$3:$AF$32,AH6+1),VLOOKUP($C$32,'Depreciation Tables'!$B$43:$AF$44,AH6+1)))</f>
        <v>0</v>
      </c>
      <c r="AI40" s="516">
        <f>IF($C$31="MACRS",VLOOKUP($C$32,'Depreciation Tables'!$B$35:$AF$40,AI6+1),IF($C$31="StraightLine",VLOOKUP($C$32,'Depreciation Tables'!$B$3:$AF$32,AI6+1),VLOOKUP($C$32,'Depreciation Tables'!$B$43:$AF$44,AI6+1)))</f>
        <v>0</v>
      </c>
      <c r="AJ40" s="516">
        <f>IF($C$31="MACRS",VLOOKUP($C$32,'Depreciation Tables'!$B$35:$AF$40,AJ6+1),IF($C$31="StraightLine",VLOOKUP($C$32,'Depreciation Tables'!$B$3:$AF$32,AJ6+1),VLOOKUP($C$32,'Depreciation Tables'!$B$43:$AF$44,AJ6+1)))</f>
        <v>0</v>
      </c>
      <c r="AK40" s="516">
        <f>IF($C$31="MACRS",VLOOKUP($C$32,'Depreciation Tables'!$B$35:$AF$40,AK6+1),IF($C$31="StraightLine",VLOOKUP($C$32,'Depreciation Tables'!$B$3:$AF$32,AK6+1),VLOOKUP($C$32,'Depreciation Tables'!$B$43:$AF$44,AK6+1)))</f>
        <v>0</v>
      </c>
      <c r="AL40" s="517">
        <f>IF($C$31="MACRS",VLOOKUP($C$32,'Depreciation Tables'!$B$35:$AF$40,AL6+1),IF($C$31="StraightLine",VLOOKUP($C$32,'Depreciation Tables'!$B$3:$AF$32,AL6+1),VLOOKUP($C$32,'Depreciation Tables'!$B$43:$AF$44,AL6+1)))</f>
        <v>0</v>
      </c>
      <c r="AM40" s="468"/>
      <c r="AN40" s="467"/>
    </row>
    <row r="41" spans="1:45" ht="15.6">
      <c r="A41" s="474" t="s">
        <v>92</v>
      </c>
      <c r="B41" s="519"/>
      <c r="C41" s="566">
        <f>C24*C39+C25*C40</f>
        <v>4.7409579667644364E-2</v>
      </c>
      <c r="D41" s="534"/>
      <c r="E41" s="467"/>
      <c r="F41" s="468"/>
      <c r="G41" s="551" t="s">
        <v>30</v>
      </c>
      <c r="H41" s="528"/>
      <c r="I41" s="544">
        <f>C6</f>
        <v>375000000</v>
      </c>
      <c r="J41" s="544">
        <f>I43</f>
        <v>300000000</v>
      </c>
      <c r="K41" s="544">
        <f t="shared" ref="K41:R41" si="25">J43</f>
        <v>180000000</v>
      </c>
      <c r="L41" s="544">
        <f t="shared" si="25"/>
        <v>108000000</v>
      </c>
      <c r="M41" s="544">
        <f t="shared" si="25"/>
        <v>64800000</v>
      </c>
      <c r="N41" s="544">
        <f t="shared" si="25"/>
        <v>21600000</v>
      </c>
      <c r="O41" s="544">
        <f t="shared" si="25"/>
        <v>0</v>
      </c>
      <c r="P41" s="544">
        <f t="shared" si="25"/>
        <v>0</v>
      </c>
      <c r="Q41" s="544">
        <f t="shared" si="25"/>
        <v>0</v>
      </c>
      <c r="R41" s="544">
        <f t="shared" si="25"/>
        <v>0</v>
      </c>
      <c r="S41" s="544">
        <f t="shared" ref="S41:Y41" si="26">R43</f>
        <v>0</v>
      </c>
      <c r="T41" s="544">
        <f t="shared" si="26"/>
        <v>0</v>
      </c>
      <c r="U41" s="544">
        <f t="shared" si="26"/>
        <v>0</v>
      </c>
      <c r="V41" s="544">
        <f t="shared" si="26"/>
        <v>0</v>
      </c>
      <c r="W41" s="544">
        <f t="shared" si="26"/>
        <v>0</v>
      </c>
      <c r="X41" s="544">
        <f t="shared" si="26"/>
        <v>0</v>
      </c>
      <c r="Y41" s="544">
        <f t="shared" si="26"/>
        <v>0</v>
      </c>
      <c r="Z41" s="544">
        <f t="shared" ref="Z41:AG41" si="27">Y43</f>
        <v>0</v>
      </c>
      <c r="AA41" s="544">
        <f t="shared" si="27"/>
        <v>0</v>
      </c>
      <c r="AB41" s="544">
        <f t="shared" si="27"/>
        <v>0</v>
      </c>
      <c r="AC41" s="544">
        <f t="shared" si="27"/>
        <v>0</v>
      </c>
      <c r="AD41" s="544">
        <f t="shared" si="27"/>
        <v>0</v>
      </c>
      <c r="AE41" s="544">
        <f t="shared" si="27"/>
        <v>0</v>
      </c>
      <c r="AF41" s="544">
        <f t="shared" si="27"/>
        <v>0</v>
      </c>
      <c r="AG41" s="544">
        <f t="shared" si="27"/>
        <v>0</v>
      </c>
      <c r="AH41" s="544">
        <f>AG43</f>
        <v>0</v>
      </c>
      <c r="AI41" s="544">
        <f>AH43</f>
        <v>0</v>
      </c>
      <c r="AJ41" s="544">
        <f>AI43</f>
        <v>0</v>
      </c>
      <c r="AK41" s="544">
        <f>AJ43</f>
        <v>0</v>
      </c>
      <c r="AL41" s="557">
        <f>AK43</f>
        <v>0</v>
      </c>
      <c r="AM41" s="468"/>
      <c r="AN41" s="467"/>
    </row>
    <row r="42" spans="1:45" ht="15.6">
      <c r="A42" s="474" t="s">
        <v>36</v>
      </c>
      <c r="B42" s="530"/>
      <c r="C42" s="522">
        <f>PMT(C26,C30,(C24*C6))</f>
        <v>-15521083.927128809</v>
      </c>
      <c r="E42" s="467"/>
      <c r="F42" s="468"/>
      <c r="G42" s="551" t="s">
        <v>29</v>
      </c>
      <c r="H42" s="528"/>
      <c r="I42" s="537">
        <f>-MIN($I$41*I40,I41)</f>
        <v>-75000000</v>
      </c>
      <c r="J42" s="537">
        <f t="shared" ref="J42:AL42" si="28">-MIN($I$41*J40,J41)</f>
        <v>-120000000</v>
      </c>
      <c r="K42" s="537">
        <f t="shared" si="28"/>
        <v>-72000000</v>
      </c>
      <c r="L42" s="537">
        <f t="shared" si="28"/>
        <v>-43200000</v>
      </c>
      <c r="M42" s="537">
        <f t="shared" si="28"/>
        <v>-43200000</v>
      </c>
      <c r="N42" s="537">
        <f t="shared" si="28"/>
        <v>-21600000</v>
      </c>
      <c r="O42" s="537">
        <f t="shared" si="28"/>
        <v>0</v>
      </c>
      <c r="P42" s="537">
        <f t="shared" si="28"/>
        <v>0</v>
      </c>
      <c r="Q42" s="537">
        <f t="shared" si="28"/>
        <v>0</v>
      </c>
      <c r="R42" s="438">
        <f t="shared" si="28"/>
        <v>0</v>
      </c>
      <c r="S42" s="438">
        <f t="shared" si="28"/>
        <v>0</v>
      </c>
      <c r="T42" s="438">
        <f t="shared" si="28"/>
        <v>0</v>
      </c>
      <c r="U42" s="438">
        <f t="shared" si="28"/>
        <v>0</v>
      </c>
      <c r="V42" s="438">
        <f t="shared" si="28"/>
        <v>0</v>
      </c>
      <c r="W42" s="438">
        <f t="shared" si="28"/>
        <v>0</v>
      </c>
      <c r="X42" s="438">
        <f t="shared" si="28"/>
        <v>0</v>
      </c>
      <c r="Y42" s="438">
        <f t="shared" si="28"/>
        <v>0</v>
      </c>
      <c r="Z42" s="537">
        <f t="shared" si="28"/>
        <v>0</v>
      </c>
      <c r="AA42" s="537">
        <f t="shared" si="28"/>
        <v>0</v>
      </c>
      <c r="AB42" s="537">
        <f t="shared" si="28"/>
        <v>0</v>
      </c>
      <c r="AC42" s="537">
        <f t="shared" si="28"/>
        <v>0</v>
      </c>
      <c r="AD42" s="537">
        <f t="shared" si="28"/>
        <v>0</v>
      </c>
      <c r="AE42" s="537">
        <f t="shared" si="28"/>
        <v>0</v>
      </c>
      <c r="AF42" s="537">
        <f t="shared" si="28"/>
        <v>0</v>
      </c>
      <c r="AG42" s="438">
        <f t="shared" si="28"/>
        <v>0</v>
      </c>
      <c r="AH42" s="438">
        <f t="shared" si="28"/>
        <v>0</v>
      </c>
      <c r="AI42" s="438">
        <f t="shared" si="28"/>
        <v>0</v>
      </c>
      <c r="AJ42" s="438">
        <f t="shared" si="28"/>
        <v>0</v>
      </c>
      <c r="AK42" s="438">
        <f t="shared" si="28"/>
        <v>0</v>
      </c>
      <c r="AL42" s="514">
        <f t="shared" si="28"/>
        <v>0</v>
      </c>
      <c r="AM42" s="468"/>
      <c r="AN42" s="467"/>
    </row>
    <row r="43" spans="1:45" ht="16.2" thickBot="1">
      <c r="A43" s="530"/>
      <c r="B43" s="530"/>
      <c r="C43" s="590"/>
      <c r="D43" s="534"/>
      <c r="E43" s="467"/>
      <c r="F43" s="468"/>
      <c r="G43" s="558" t="s">
        <v>34</v>
      </c>
      <c r="H43" s="419"/>
      <c r="I43" s="435">
        <f>SUM(I41:I42)</f>
        <v>300000000</v>
      </c>
      <c r="J43" s="435">
        <f t="shared" ref="J43:R43" si="29">SUM(J41:J42)</f>
        <v>180000000</v>
      </c>
      <c r="K43" s="435">
        <f t="shared" si="29"/>
        <v>108000000</v>
      </c>
      <c r="L43" s="435">
        <f t="shared" si="29"/>
        <v>64800000</v>
      </c>
      <c r="M43" s="435">
        <f t="shared" si="29"/>
        <v>21600000</v>
      </c>
      <c r="N43" s="435">
        <f>SUM(N41:N42)</f>
        <v>0</v>
      </c>
      <c r="O43" s="435">
        <f t="shared" si="29"/>
        <v>0</v>
      </c>
      <c r="P43" s="435">
        <f t="shared" si="29"/>
        <v>0</v>
      </c>
      <c r="Q43" s="435">
        <f t="shared" si="29"/>
        <v>0</v>
      </c>
      <c r="R43" s="437">
        <f t="shared" si="29"/>
        <v>0</v>
      </c>
      <c r="S43" s="437">
        <f>SUM(S41:S42)</f>
        <v>0</v>
      </c>
      <c r="T43" s="437">
        <f t="shared" ref="T43:AB43" si="30">SUM(T41:T42)</f>
        <v>0</v>
      </c>
      <c r="U43" s="437">
        <f t="shared" si="30"/>
        <v>0</v>
      </c>
      <c r="V43" s="437">
        <f t="shared" si="30"/>
        <v>0</v>
      </c>
      <c r="W43" s="437">
        <f t="shared" si="30"/>
        <v>0</v>
      </c>
      <c r="X43" s="437">
        <f t="shared" si="30"/>
        <v>0</v>
      </c>
      <c r="Y43" s="437">
        <f t="shared" si="30"/>
        <v>0</v>
      </c>
      <c r="Z43" s="435">
        <f t="shared" si="30"/>
        <v>0</v>
      </c>
      <c r="AA43" s="435">
        <f t="shared" si="30"/>
        <v>0</v>
      </c>
      <c r="AB43" s="435">
        <f t="shared" si="30"/>
        <v>0</v>
      </c>
      <c r="AC43" s="435">
        <f t="shared" ref="AC43:AL43" si="31">SUM(AC41:AC42)</f>
        <v>0</v>
      </c>
      <c r="AD43" s="435">
        <f t="shared" si="31"/>
        <v>0</v>
      </c>
      <c r="AE43" s="435">
        <f t="shared" si="31"/>
        <v>0</v>
      </c>
      <c r="AF43" s="435">
        <f t="shared" si="31"/>
        <v>0</v>
      </c>
      <c r="AG43" s="437">
        <f t="shared" si="31"/>
        <v>0</v>
      </c>
      <c r="AH43" s="437">
        <f t="shared" si="31"/>
        <v>0</v>
      </c>
      <c r="AI43" s="437">
        <f t="shared" si="31"/>
        <v>0</v>
      </c>
      <c r="AJ43" s="437">
        <f t="shared" si="31"/>
        <v>0</v>
      </c>
      <c r="AK43" s="437">
        <f t="shared" si="31"/>
        <v>0</v>
      </c>
      <c r="AL43" s="513">
        <f t="shared" si="31"/>
        <v>0</v>
      </c>
      <c r="AM43" s="468"/>
      <c r="AN43" s="467"/>
    </row>
    <row r="44" spans="1:45" ht="16.8" thickTop="1" thickBot="1">
      <c r="A44" s="521"/>
      <c r="B44" s="521"/>
      <c r="C44" s="521"/>
      <c r="E44" s="467"/>
      <c r="F44" s="468"/>
      <c r="G44" s="448"/>
      <c r="H44" s="449"/>
      <c r="I44" s="546"/>
      <c r="J44" s="449"/>
      <c r="K44" s="449"/>
      <c r="L44" s="449"/>
      <c r="M44" s="449"/>
      <c r="N44" s="449"/>
      <c r="O44" s="449"/>
      <c r="P44" s="449"/>
      <c r="Q44" s="449"/>
      <c r="R44" s="449"/>
      <c r="S44" s="479"/>
      <c r="T44" s="481"/>
      <c r="U44" s="481"/>
      <c r="V44" s="481"/>
      <c r="W44" s="481"/>
      <c r="X44" s="481"/>
      <c r="Y44" s="481"/>
      <c r="Z44" s="481"/>
      <c r="AA44" s="481"/>
      <c r="AB44" s="481"/>
      <c r="AC44" s="481"/>
      <c r="AD44" s="481"/>
      <c r="AE44" s="481"/>
      <c r="AF44" s="481"/>
      <c r="AG44" s="481"/>
      <c r="AH44" s="481"/>
      <c r="AI44" s="481"/>
      <c r="AJ44" s="481"/>
      <c r="AK44" s="481"/>
      <c r="AL44" s="459"/>
      <c r="AM44" s="468"/>
      <c r="AN44" s="467"/>
      <c r="AQ44" s="596" t="s">
        <v>150</v>
      </c>
      <c r="AR44" s="595"/>
      <c r="AS44" s="597">
        <v>0.35</v>
      </c>
    </row>
    <row r="45" spans="1:45" ht="18.600000000000001" thickBot="1">
      <c r="A45" s="578" t="s">
        <v>42</v>
      </c>
      <c r="B45" s="579"/>
      <c r="C45" s="580"/>
      <c r="E45" s="467"/>
      <c r="F45" s="468"/>
      <c r="G45" s="487" t="s">
        <v>31</v>
      </c>
      <c r="H45" s="492"/>
      <c r="I45" s="492"/>
      <c r="J45" s="492"/>
      <c r="K45" s="492"/>
      <c r="L45" s="492"/>
      <c r="M45" s="492"/>
      <c r="N45" s="492"/>
      <c r="O45" s="492"/>
      <c r="P45" s="492"/>
      <c r="Q45" s="492"/>
      <c r="R45" s="492"/>
      <c r="S45" s="492"/>
      <c r="T45" s="492"/>
      <c r="U45" s="492"/>
      <c r="V45" s="492"/>
      <c r="W45" s="492"/>
      <c r="X45" s="492"/>
      <c r="Y45" s="492"/>
      <c r="Z45" s="492"/>
      <c r="AA45" s="492"/>
      <c r="AB45" s="492"/>
      <c r="AC45" s="492"/>
      <c r="AD45" s="492"/>
      <c r="AE45" s="492"/>
      <c r="AF45" s="492"/>
      <c r="AG45" s="492"/>
      <c r="AH45" s="492"/>
      <c r="AI45" s="492"/>
      <c r="AJ45" s="492"/>
      <c r="AK45" s="492"/>
      <c r="AL45" s="493"/>
      <c r="AM45" s="468"/>
      <c r="AN45" s="467"/>
      <c r="AQ45" s="596" t="s">
        <v>151</v>
      </c>
      <c r="AR45" s="595"/>
      <c r="AS45" s="597">
        <v>7.0999999999999994E-2</v>
      </c>
    </row>
    <row r="46" spans="1:45" ht="18">
      <c r="A46" s="581" t="s">
        <v>37</v>
      </c>
      <c r="B46" s="582"/>
      <c r="C46" s="587">
        <f ca="1">SUM(I36:OFFSET($H$36,0,$C$30))-($C$6*C25)</f>
        <v>-95975685.94538869</v>
      </c>
      <c r="E46" s="467"/>
      <c r="F46" s="468"/>
      <c r="G46" s="554" t="s">
        <v>30</v>
      </c>
      <c r="H46" s="555"/>
      <c r="I46" s="451">
        <f>IF(I6&gt;C30,0,C24*C6)</f>
        <v>187500000</v>
      </c>
      <c r="J46" s="452">
        <f t="shared" ref="J46:AL46" si="32">IF(J6&gt;$C$30,0,I49)</f>
        <v>182047666.07287118</v>
      </c>
      <c r="K46" s="452">
        <f t="shared" si="32"/>
        <v>176302541.81385556</v>
      </c>
      <c r="L46" s="452">
        <f t="shared" si="32"/>
        <v>170248904.3821308</v>
      </c>
      <c r="M46" s="452">
        <f t="shared" si="32"/>
        <v>163870186.62032241</v>
      </c>
      <c r="N46" s="452">
        <f t="shared" si="32"/>
        <v>157148931.7147049</v>
      </c>
      <c r="O46" s="452">
        <f t="shared" si="32"/>
        <v>150066745.42065576</v>
      </c>
      <c r="P46" s="452">
        <f t="shared" si="32"/>
        <v>142604245.72261617</v>
      </c>
      <c r="Q46" s="452">
        <f t="shared" si="32"/>
        <v>134741009.79079184</v>
      </c>
      <c r="R46" s="452">
        <f t="shared" si="32"/>
        <v>126455518.08942856</v>
      </c>
      <c r="S46" s="452">
        <f t="shared" si="32"/>
        <v>117725095.48370206</v>
      </c>
      <c r="T46" s="452">
        <f t="shared" si="32"/>
        <v>108525849.18404806</v>
      </c>
      <c r="U46" s="452">
        <f t="shared" si="32"/>
        <v>98832603.35810262</v>
      </c>
      <c r="V46" s="452">
        <f t="shared" si="32"/>
        <v>88618830.23130393</v>
      </c>
      <c r="W46" s="452">
        <f t="shared" si="32"/>
        <v>77856577.487596139</v>
      </c>
      <c r="X46" s="452">
        <f t="shared" si="32"/>
        <v>66516391.771551244</v>
      </c>
      <c r="Y46" s="452">
        <f t="shared" si="32"/>
        <v>54567238.082554735</v>
      </c>
      <c r="Z46" s="452">
        <f t="shared" si="32"/>
        <v>41976414.840459116</v>
      </c>
      <c r="AA46" s="452">
        <f t="shared" si="32"/>
        <v>28709464.390262961</v>
      </c>
      <c r="AB46" s="452">
        <f t="shared" si="32"/>
        <v>14730078.700891273</v>
      </c>
      <c r="AC46" s="452">
        <f t="shared" si="32"/>
        <v>0</v>
      </c>
      <c r="AD46" s="452">
        <f t="shared" si="32"/>
        <v>0</v>
      </c>
      <c r="AE46" s="452">
        <f t="shared" si="32"/>
        <v>0</v>
      </c>
      <c r="AF46" s="452">
        <f t="shared" si="32"/>
        <v>0</v>
      </c>
      <c r="AG46" s="452">
        <f t="shared" si="32"/>
        <v>0</v>
      </c>
      <c r="AH46" s="452">
        <f t="shared" si="32"/>
        <v>0</v>
      </c>
      <c r="AI46" s="452">
        <f t="shared" si="32"/>
        <v>0</v>
      </c>
      <c r="AJ46" s="452">
        <f t="shared" si="32"/>
        <v>0</v>
      </c>
      <c r="AK46" s="452">
        <f t="shared" si="32"/>
        <v>0</v>
      </c>
      <c r="AL46" s="512">
        <f t="shared" si="32"/>
        <v>0</v>
      </c>
      <c r="AM46" s="468"/>
      <c r="AN46" s="467"/>
      <c r="AQ46" s="596" t="s">
        <v>152</v>
      </c>
      <c r="AR46" s="595"/>
      <c r="AS46" s="598">
        <v>8.8499999999999995E-2</v>
      </c>
    </row>
    <row r="47" spans="1:45" ht="18.600000000000001" thickBot="1">
      <c r="A47" s="583" t="s">
        <v>105</v>
      </c>
      <c r="B47" s="576"/>
      <c r="C47" s="584"/>
      <c r="E47" s="467"/>
      <c r="F47" s="468"/>
      <c r="G47" s="550" t="s">
        <v>32</v>
      </c>
      <c r="H47" s="529"/>
      <c r="I47" s="534">
        <f t="shared" ref="I47:AL47" si="33">IF(I6&gt;$C$30,0,-I46*$C$26)</f>
        <v>-10068750</v>
      </c>
      <c r="J47" s="534">
        <f t="shared" si="33"/>
        <v>-9775959.6681131814</v>
      </c>
      <c r="K47" s="534">
        <f t="shared" si="33"/>
        <v>-9467446.4954040423</v>
      </c>
      <c r="L47" s="534">
        <f t="shared" si="33"/>
        <v>-9142366.1653204244</v>
      </c>
      <c r="M47" s="534">
        <f t="shared" si="33"/>
        <v>-8799829.0215113126</v>
      </c>
      <c r="N47" s="534">
        <f t="shared" si="33"/>
        <v>-8438897.6330796536</v>
      </c>
      <c r="O47" s="534">
        <f t="shared" si="33"/>
        <v>-8058584.2290892135</v>
      </c>
      <c r="P47" s="534">
        <f t="shared" si="33"/>
        <v>-7657847.9953044876</v>
      </c>
      <c r="Q47" s="534">
        <f t="shared" si="33"/>
        <v>-7235592.2257655216</v>
      </c>
      <c r="R47" s="534">
        <f t="shared" si="33"/>
        <v>-6790661.3214023132</v>
      </c>
      <c r="S47" s="534">
        <f t="shared" si="33"/>
        <v>-6321837.6274748007</v>
      </c>
      <c r="T47" s="534">
        <f t="shared" si="33"/>
        <v>-5827838.10118338</v>
      </c>
      <c r="U47" s="534">
        <f t="shared" si="33"/>
        <v>-5307310.8003301108</v>
      </c>
      <c r="V47" s="534">
        <f t="shared" si="33"/>
        <v>-4758831.1834210204</v>
      </c>
      <c r="W47" s="534">
        <f t="shared" si="33"/>
        <v>-4180898.2110839123</v>
      </c>
      <c r="X47" s="534">
        <f t="shared" si="33"/>
        <v>-3571930.2381323017</v>
      </c>
      <c r="Y47" s="534">
        <f t="shared" si="33"/>
        <v>-2930260.6850331891</v>
      </c>
      <c r="Z47" s="534">
        <f t="shared" si="33"/>
        <v>-2254133.4769326546</v>
      </c>
      <c r="AA47" s="534">
        <f t="shared" si="33"/>
        <v>-1541698.237757121</v>
      </c>
      <c r="AB47" s="534">
        <f t="shared" si="33"/>
        <v>-791005.22623786132</v>
      </c>
      <c r="AC47" s="534">
        <f t="shared" si="33"/>
        <v>0</v>
      </c>
      <c r="AD47" s="534">
        <f t="shared" si="33"/>
        <v>0</v>
      </c>
      <c r="AE47" s="534">
        <f t="shared" si="33"/>
        <v>0</v>
      </c>
      <c r="AF47" s="534">
        <f t="shared" si="33"/>
        <v>0</v>
      </c>
      <c r="AG47" s="534">
        <f t="shared" si="33"/>
        <v>0</v>
      </c>
      <c r="AH47" s="534">
        <f t="shared" si="33"/>
        <v>0</v>
      </c>
      <c r="AI47" s="534">
        <f t="shared" si="33"/>
        <v>0</v>
      </c>
      <c r="AJ47" s="534">
        <f t="shared" si="33"/>
        <v>0</v>
      </c>
      <c r="AK47" s="534">
        <f t="shared" si="33"/>
        <v>0</v>
      </c>
      <c r="AL47" s="465">
        <f t="shared" si="33"/>
        <v>0</v>
      </c>
      <c r="AM47" s="468"/>
      <c r="AN47" s="467"/>
      <c r="AQ47" s="596" t="s">
        <v>14</v>
      </c>
      <c r="AR47" s="595"/>
      <c r="AS47" s="597">
        <f>AS44+(1-AS44)*(AS45+AS46)</f>
        <v>0.45367499999999994</v>
      </c>
    </row>
    <row r="48" spans="1:45" ht="18.600000000000001" thickBot="1">
      <c r="A48" s="585" t="s">
        <v>104</v>
      </c>
      <c r="B48" s="586"/>
      <c r="C48" s="588">
        <f ca="1">SUM(I37:OFFSET($H$37,0,$C$30))-($C$6*C25)</f>
        <v>-64122610.956326112</v>
      </c>
      <c r="E48" s="467"/>
      <c r="F48" s="468"/>
      <c r="G48" s="550" t="s">
        <v>33</v>
      </c>
      <c r="H48" s="529"/>
      <c r="I48" s="534">
        <f t="shared" ref="I48:AL48" si="34">IF(I6&gt;$C$30,0,$C$42-I47)</f>
        <v>-5452333.9271288086</v>
      </c>
      <c r="J48" s="534">
        <f t="shared" si="34"/>
        <v>-5745124.2590156272</v>
      </c>
      <c r="K48" s="534">
        <f t="shared" si="34"/>
        <v>-6053637.4317247663</v>
      </c>
      <c r="L48" s="534">
        <f t="shared" si="34"/>
        <v>-6378717.7618083842</v>
      </c>
      <c r="M48" s="534">
        <f t="shared" si="34"/>
        <v>-6721254.905617496</v>
      </c>
      <c r="N48" s="534">
        <f t="shared" si="34"/>
        <v>-7082186.294049155</v>
      </c>
      <c r="O48" s="534">
        <f t="shared" si="34"/>
        <v>-7462499.698039595</v>
      </c>
      <c r="P48" s="534">
        <f t="shared" si="34"/>
        <v>-7863235.9318243209</v>
      </c>
      <c r="Q48" s="534">
        <f t="shared" si="34"/>
        <v>-8285491.7013632869</v>
      </c>
      <c r="R48" s="534">
        <f t="shared" si="34"/>
        <v>-8730422.6057264954</v>
      </c>
      <c r="S48" s="534">
        <f t="shared" si="34"/>
        <v>-9199246.299654007</v>
      </c>
      <c r="T48" s="534">
        <f t="shared" si="34"/>
        <v>-9693245.8259454295</v>
      </c>
      <c r="U48" s="534">
        <f t="shared" si="34"/>
        <v>-10213773.126798697</v>
      </c>
      <c r="V48" s="534">
        <f t="shared" si="34"/>
        <v>-10762252.743707787</v>
      </c>
      <c r="W48" s="534">
        <f t="shared" si="34"/>
        <v>-11340185.716044895</v>
      </c>
      <c r="X48" s="534">
        <f t="shared" si="34"/>
        <v>-11949153.688996507</v>
      </c>
      <c r="Y48" s="534">
        <f t="shared" si="34"/>
        <v>-12590823.242095619</v>
      </c>
      <c r="Z48" s="534">
        <f t="shared" si="34"/>
        <v>-13266950.450196154</v>
      </c>
      <c r="AA48" s="534">
        <f t="shared" si="34"/>
        <v>-13979385.689371688</v>
      </c>
      <c r="AB48" s="534">
        <f t="shared" si="34"/>
        <v>-14730078.700890947</v>
      </c>
      <c r="AC48" s="534">
        <f t="shared" si="34"/>
        <v>0</v>
      </c>
      <c r="AD48" s="534">
        <f t="shared" si="34"/>
        <v>0</v>
      </c>
      <c r="AE48" s="534">
        <f t="shared" si="34"/>
        <v>0</v>
      </c>
      <c r="AF48" s="534">
        <f t="shared" si="34"/>
        <v>0</v>
      </c>
      <c r="AG48" s="534">
        <f t="shared" si="34"/>
        <v>0</v>
      </c>
      <c r="AH48" s="534">
        <f t="shared" si="34"/>
        <v>0</v>
      </c>
      <c r="AI48" s="534">
        <f t="shared" si="34"/>
        <v>0</v>
      </c>
      <c r="AJ48" s="534">
        <f t="shared" si="34"/>
        <v>0</v>
      </c>
      <c r="AK48" s="534">
        <f t="shared" si="34"/>
        <v>0</v>
      </c>
      <c r="AL48" s="465">
        <f t="shared" si="34"/>
        <v>0</v>
      </c>
      <c r="AM48" s="468"/>
      <c r="AN48" s="467"/>
      <c r="AQ48" s="592"/>
      <c r="AR48" s="592"/>
      <c r="AS48" s="597">
        <f>(1-AS44)*(AS45+AS46)</f>
        <v>0.10367499999999999</v>
      </c>
    </row>
    <row r="49" spans="1:40" ht="16.2" thickBot="1">
      <c r="E49" s="467"/>
      <c r="F49" s="468"/>
      <c r="G49" s="556" t="s">
        <v>34</v>
      </c>
      <c r="H49" s="524"/>
      <c r="I49" s="435">
        <f>I46+I48</f>
        <v>182047666.07287118</v>
      </c>
      <c r="J49" s="436">
        <f>J46+J48</f>
        <v>176302541.81385556</v>
      </c>
      <c r="K49" s="436">
        <f t="shared" ref="K49:R49" si="35">K46+K48</f>
        <v>170248904.3821308</v>
      </c>
      <c r="L49" s="436">
        <f t="shared" si="35"/>
        <v>163870186.62032241</v>
      </c>
      <c r="M49" s="436">
        <f t="shared" si="35"/>
        <v>157148931.7147049</v>
      </c>
      <c r="N49" s="436">
        <f t="shared" si="35"/>
        <v>150066745.42065576</v>
      </c>
      <c r="O49" s="436">
        <f t="shared" si="35"/>
        <v>142604245.72261617</v>
      </c>
      <c r="P49" s="436">
        <f t="shared" si="35"/>
        <v>134741009.79079184</v>
      </c>
      <c r="Q49" s="436">
        <f t="shared" si="35"/>
        <v>126455518.08942856</v>
      </c>
      <c r="R49" s="436">
        <f t="shared" si="35"/>
        <v>117725095.48370206</v>
      </c>
      <c r="S49" s="436">
        <f t="shared" ref="S49:Y49" si="36">S46+S48</f>
        <v>108525849.18404806</v>
      </c>
      <c r="T49" s="436">
        <f t="shared" si="36"/>
        <v>98832603.35810262</v>
      </c>
      <c r="U49" s="436">
        <f t="shared" si="36"/>
        <v>88618830.23130393</v>
      </c>
      <c r="V49" s="436">
        <f t="shared" si="36"/>
        <v>77856577.487596139</v>
      </c>
      <c r="W49" s="436">
        <f t="shared" si="36"/>
        <v>66516391.771551244</v>
      </c>
      <c r="X49" s="436">
        <f t="shared" si="36"/>
        <v>54567238.082554735</v>
      </c>
      <c r="Y49" s="436">
        <f t="shared" si="36"/>
        <v>41976414.840459116</v>
      </c>
      <c r="Z49" s="436">
        <f t="shared" ref="Z49:AG49" si="37">Z46+Z48</f>
        <v>28709464.390262961</v>
      </c>
      <c r="AA49" s="436">
        <f t="shared" si="37"/>
        <v>14730078.700891273</v>
      </c>
      <c r="AB49" s="436">
        <f t="shared" si="37"/>
        <v>3.2596290111541748E-7</v>
      </c>
      <c r="AC49" s="436">
        <f t="shared" si="37"/>
        <v>0</v>
      </c>
      <c r="AD49" s="436">
        <f t="shared" si="37"/>
        <v>0</v>
      </c>
      <c r="AE49" s="436">
        <f t="shared" si="37"/>
        <v>0</v>
      </c>
      <c r="AF49" s="436">
        <f t="shared" si="37"/>
        <v>0</v>
      </c>
      <c r="AG49" s="436">
        <f t="shared" si="37"/>
        <v>0</v>
      </c>
      <c r="AH49" s="436">
        <f>AH46+AH48</f>
        <v>0</v>
      </c>
      <c r="AI49" s="436">
        <f>AI46+AI48</f>
        <v>0</v>
      </c>
      <c r="AJ49" s="436">
        <f>AJ46+AJ48</f>
        <v>0</v>
      </c>
      <c r="AK49" s="436">
        <f>AK46+AK48</f>
        <v>0</v>
      </c>
      <c r="AL49" s="511">
        <f>AL46+AL48</f>
        <v>0</v>
      </c>
      <c r="AM49" s="468"/>
      <c r="AN49" s="467"/>
    </row>
    <row r="50" spans="1:40" ht="12" customHeight="1" thickTop="1" thickBot="1">
      <c r="E50" s="467"/>
      <c r="F50" s="468"/>
      <c r="G50" s="448"/>
      <c r="H50" s="449"/>
      <c r="I50" s="546"/>
      <c r="J50" s="449"/>
      <c r="K50" s="449"/>
      <c r="L50" s="449"/>
      <c r="M50" s="449"/>
      <c r="N50" s="449"/>
      <c r="O50" s="449"/>
      <c r="P50" s="449"/>
      <c r="Q50" s="449"/>
      <c r="R50" s="449"/>
      <c r="S50" s="491"/>
      <c r="T50" s="449"/>
      <c r="U50" s="449"/>
      <c r="V50" s="449"/>
      <c r="W50" s="449"/>
      <c r="X50" s="449"/>
      <c r="Y50" s="449"/>
      <c r="Z50" s="449"/>
      <c r="AA50" s="449"/>
      <c r="AB50" s="449"/>
      <c r="AC50" s="449"/>
      <c r="AD50" s="449"/>
      <c r="AE50" s="449"/>
      <c r="AF50" s="449"/>
      <c r="AG50" s="449"/>
      <c r="AH50" s="449"/>
      <c r="AI50" s="449"/>
      <c r="AJ50" s="449"/>
      <c r="AK50" s="449"/>
      <c r="AL50" s="450"/>
      <c r="AM50" s="468"/>
      <c r="AN50" s="467"/>
    </row>
    <row r="51" spans="1:40" ht="7.5" customHeight="1">
      <c r="E51" s="467"/>
      <c r="F51" s="468"/>
      <c r="G51" s="468"/>
      <c r="H51" s="468"/>
      <c r="I51" s="468"/>
      <c r="J51" s="468"/>
      <c r="K51" s="468"/>
      <c r="L51" s="468"/>
      <c r="M51" s="468"/>
      <c r="N51" s="468"/>
      <c r="O51" s="468"/>
      <c r="P51" s="468"/>
      <c r="Q51" s="468"/>
      <c r="R51" s="468"/>
      <c r="S51" s="468"/>
      <c r="T51" s="468"/>
      <c r="U51" s="468"/>
      <c r="V51" s="468"/>
      <c r="W51" s="468"/>
      <c r="X51" s="468"/>
      <c r="Y51" s="468"/>
      <c r="Z51" s="468"/>
      <c r="AA51" s="468"/>
      <c r="AB51" s="468"/>
      <c r="AC51" s="468"/>
      <c r="AD51" s="468"/>
      <c r="AE51" s="468"/>
      <c r="AF51" s="468"/>
      <c r="AG51" s="468"/>
      <c r="AH51" s="468"/>
      <c r="AI51" s="468"/>
      <c r="AJ51" s="468"/>
      <c r="AK51" s="468"/>
      <c r="AL51" s="468"/>
      <c r="AM51" s="468"/>
      <c r="AN51" s="467"/>
    </row>
    <row r="52" spans="1:40" ht="15.6">
      <c r="B52" s="486" t="s">
        <v>77</v>
      </c>
      <c r="E52" s="467"/>
      <c r="F52" s="467"/>
      <c r="G52" s="467"/>
      <c r="H52" s="467"/>
      <c r="I52" s="467"/>
      <c r="J52" s="467"/>
      <c r="K52" s="467"/>
      <c r="L52" s="467"/>
      <c r="M52" s="467"/>
      <c r="N52" s="467"/>
      <c r="O52" s="467"/>
      <c r="P52" s="467"/>
      <c r="Q52" s="467"/>
      <c r="R52" s="467"/>
      <c r="S52" s="467"/>
      <c r="T52" s="467"/>
      <c r="U52" s="467"/>
      <c r="V52" s="467"/>
      <c r="W52" s="467"/>
      <c r="X52" s="467"/>
      <c r="Y52" s="467"/>
      <c r="Z52" s="467"/>
      <c r="AA52" s="467"/>
      <c r="AB52" s="467"/>
      <c r="AC52" s="467"/>
      <c r="AD52" s="467"/>
      <c r="AE52" s="467"/>
      <c r="AF52" s="467"/>
      <c r="AG52" s="467"/>
      <c r="AH52" s="467"/>
      <c r="AI52" s="467"/>
      <c r="AJ52" s="467"/>
      <c r="AK52" s="467"/>
      <c r="AL52" s="467"/>
      <c r="AM52" s="467"/>
      <c r="AN52" s="467"/>
    </row>
    <row r="54" spans="1:40">
      <c r="A54" s="600" t="s">
        <v>153</v>
      </c>
      <c r="B54" s="599"/>
      <c r="C54" s="601">
        <f ca="1">C48/C7/1000</f>
        <v>-641.22610956326116</v>
      </c>
    </row>
    <row r="56" spans="1:40">
      <c r="G56" s="520"/>
      <c r="H56" s="482"/>
      <c r="I56" s="477"/>
      <c r="S56" s="568"/>
    </row>
    <row r="58" spans="1:40">
      <c r="AI58" s="520"/>
      <c r="AJ58" s="520"/>
      <c r="AK58" s="520"/>
      <c r="AL58" s="520"/>
    </row>
    <row r="59" spans="1:40">
      <c r="I59" s="589"/>
      <c r="J59" s="568"/>
    </row>
    <row r="60" spans="1:40" ht="18">
      <c r="A60" s="510"/>
      <c r="I60" s="589"/>
    </row>
    <row r="61" spans="1:40" ht="18">
      <c r="A61" s="510"/>
      <c r="I61" s="570"/>
      <c r="J61" s="570"/>
      <c r="K61" s="570"/>
      <c r="L61" s="570"/>
      <c r="M61" s="570"/>
      <c r="N61" s="571"/>
      <c r="O61" s="571"/>
      <c r="P61" s="571"/>
      <c r="Q61" s="571"/>
      <c r="R61" s="571"/>
    </row>
    <row r="62" spans="1:40">
      <c r="O62" s="536"/>
      <c r="P62" s="536"/>
      <c r="Q62" s="536"/>
      <c r="R62" s="536"/>
    </row>
    <row r="63" spans="1:40">
      <c r="I63" s="573"/>
      <c r="J63" s="573"/>
      <c r="K63" s="573"/>
      <c r="L63" s="573"/>
      <c r="M63" s="573"/>
    </row>
  </sheetData>
  <mergeCells count="1">
    <mergeCell ref="A2:C2"/>
  </mergeCells>
  <conditionalFormatting sqref="A62:A65527 A53:A59 A45:A51 A44:C44 B45:C65527 A43 C19 B20:C43 C16:C17 B15:B19 G40:AL44 G46:AL50 G53:AL65525 AM53:AM65524 F54:F65524 D5:D65521 AN53:AN65523 A2:A3 D2:D3 B3:C3 G6:AL8 E54:E65523 G10:AL38 E53:F53 B5:C14 AO1:IV1048576">
    <cfRule type="cellIs" dxfId="6" priority="7" operator="lessThan">
      <formula>0</formula>
    </cfRule>
  </conditionalFormatting>
  <conditionalFormatting sqref="C26:C27">
    <cfRule type="cellIs" dxfId="5" priority="6" operator="lessThan">
      <formula>0</formula>
    </cfRule>
  </conditionalFormatting>
  <conditionalFormatting sqref="G19">
    <cfRule type="cellIs" dxfId="4" priority="5" operator="lessThan">
      <formula>0</formula>
    </cfRule>
  </conditionalFormatting>
  <conditionalFormatting sqref="AQ44:AQ47">
    <cfRule type="cellIs" dxfId="3" priority="4" operator="lessThan">
      <formula>0</formula>
    </cfRule>
  </conditionalFormatting>
  <conditionalFormatting sqref="AQ44:AS48">
    <cfRule type="cellIs" dxfId="2" priority="3" operator="lessThan">
      <formula>0</formula>
    </cfRule>
  </conditionalFormatting>
  <conditionalFormatting sqref="A54:C54">
    <cfRule type="cellIs" dxfId="1" priority="2" operator="lessThan">
      <formula>0</formula>
    </cfRule>
  </conditionalFormatting>
  <conditionalFormatting sqref="A54:C54">
    <cfRule type="cellIs" dxfId="0" priority="1" operator="lessThan">
      <formula>0</formula>
    </cfRule>
  </conditionalFormatting>
  <dataValidations count="8">
    <dataValidation type="list" allowBlank="1" showInputMessage="1" showErrorMessage="1" sqref="C20">
      <formula1>"-10, -9, -8, -7, -6, -5, -4, -3, -2, -1, 0, 1, 2, 3, 4, 5, 6, 7, 8, 9, 10"</formula1>
    </dataValidation>
    <dataValidation type="list" allowBlank="1" showInputMessage="1" showErrorMessage="1" sqref="C43 C21:C22">
      <formula1>"YES, NO"</formula1>
    </dataValidation>
    <dataValidation type="list" allowBlank="1" showInputMessage="1" showErrorMessage="1" sqref="C32">
      <formula1>INDIRECT($C$31)</formula1>
    </dataValidation>
    <dataValidation type="list" allowBlank="1" showInputMessage="1" showErrorMessage="1" sqref="C31">
      <formula1>$AP$5:$AR$5</formula1>
    </dataValidation>
    <dataValidation type="list" allowBlank="1" showInputMessage="1" showErrorMessage="1" sqref="C30">
      <formula1>"1, 2, 3, 4, 5, 6, 7, 8, 9, 10, 11, 12, 13, 14, 15,16,17,18,19,20,21,22,23,24,25,26,27,28,29,30"</formula1>
    </dataValidation>
    <dataValidation type="list" allowBlank="1" showInputMessage="1" showErrorMessage="1" sqref="D24">
      <formula1>"1, 2, 3, 4, 5"</formula1>
    </dataValidation>
    <dataValidation type="list" allowBlank="1" showInputMessage="1" showErrorMessage="1" sqref="M59">
      <formula1>$O$59:$O$61</formula1>
    </dataValidation>
    <dataValidation type="list" allowBlank="1" showInputMessage="1" showErrorMessage="1" sqref="C12">
      <formula1>"0,15,25"</formula1>
    </dataValidation>
  </dataValidations>
  <pageMargins left="0.7" right="0.7" top="0.75" bottom="0.75" header="0.3" footer="0.3"/>
  <pageSetup orientation="portrait" r:id="rId1"/>
  <headerFooter>
    <oddFooter>&amp;RPrepared by Julia Popova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B1:U60"/>
  <sheetViews>
    <sheetView zoomScale="85" zoomScaleNormal="85" workbookViewId="0">
      <selection activeCell="H2" sqref="H2"/>
    </sheetView>
  </sheetViews>
  <sheetFormatPr defaultColWidth="9.109375" defaultRowHeight="14.4"/>
  <cols>
    <col min="1" max="1" width="2.88671875" style="4" customWidth="1"/>
    <col min="2" max="2" width="20.5546875" style="4" customWidth="1"/>
    <col min="3" max="3" width="14.5546875" style="4" bestFit="1" customWidth="1"/>
    <col min="4" max="4" width="15.33203125" style="4" bestFit="1" customWidth="1"/>
    <col min="5" max="5" width="2.88671875" style="4" customWidth="1"/>
    <col min="6" max="6" width="7.33203125" style="4" bestFit="1" customWidth="1"/>
    <col min="7" max="7" width="10.109375" style="4" bestFit="1" customWidth="1"/>
    <col min="8" max="8" width="15.33203125" style="4" bestFit="1" customWidth="1"/>
    <col min="9" max="9" width="13.33203125" style="4" bestFit="1" customWidth="1"/>
    <col min="10" max="10" width="21.6640625" style="4" bestFit="1" customWidth="1"/>
    <col min="11" max="11" width="2.88671875" style="4" customWidth="1"/>
    <col min="12" max="12" width="9" style="4" bestFit="1" customWidth="1"/>
    <col min="13" max="13" width="12.6640625" style="4" customWidth="1"/>
    <col min="14" max="14" width="11.6640625" style="4" bestFit="1" customWidth="1"/>
    <col min="15" max="15" width="12.6640625" style="4" bestFit="1" customWidth="1"/>
    <col min="16" max="16" width="19.33203125" style="4" bestFit="1" customWidth="1"/>
    <col min="17" max="17" width="2.88671875" style="4" customWidth="1"/>
    <col min="18" max="16384" width="9.109375" style="4"/>
  </cols>
  <sheetData>
    <row r="1" spans="2:17" ht="8.25" customHeight="1"/>
    <row r="2" spans="2:17" ht="21.6" thickBot="1">
      <c r="B2" s="12" t="s">
        <v>95</v>
      </c>
      <c r="C2" s="39"/>
      <c r="D2" s="26"/>
      <c r="F2" s="2"/>
    </row>
    <row r="3" spans="2:17" ht="18">
      <c r="B3" s="13"/>
      <c r="C3" s="40"/>
      <c r="D3" s="4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</row>
    <row r="4" spans="2:17">
      <c r="B4" s="8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5" t="s">
        <v>49</v>
      </c>
      <c r="O4" s="5" t="s">
        <v>50</v>
      </c>
      <c r="P4" s="5" t="s">
        <v>51</v>
      </c>
      <c r="Q4" s="14"/>
    </row>
    <row r="5" spans="2:17">
      <c r="B5" s="8"/>
      <c r="C5" s="2"/>
      <c r="D5" s="2"/>
      <c r="E5" s="2"/>
      <c r="F5" s="2"/>
      <c r="G5" s="2"/>
      <c r="H5" s="2"/>
      <c r="I5" s="2"/>
      <c r="J5" s="2"/>
      <c r="K5" s="2"/>
      <c r="L5" s="5" t="s">
        <v>52</v>
      </c>
      <c r="M5" s="15"/>
      <c r="N5" s="16">
        <f>C14</f>
        <v>18355.183333333334</v>
      </c>
      <c r="O5" s="17">
        <f>D14</f>
        <v>3.8249999999999997</v>
      </c>
      <c r="P5" s="18">
        <f>N5*O5*1000*6</f>
        <v>421251457.5</v>
      </c>
      <c r="Q5" s="14"/>
    </row>
    <row r="6" spans="2:17">
      <c r="B6" s="8"/>
      <c r="C6" s="2"/>
      <c r="D6" s="2"/>
      <c r="E6" s="2"/>
      <c r="F6" s="2"/>
      <c r="G6" s="2"/>
      <c r="H6" s="2"/>
      <c r="I6" s="2"/>
      <c r="J6" s="2"/>
      <c r="K6" s="2"/>
      <c r="L6" s="19" t="s">
        <v>53</v>
      </c>
      <c r="M6" s="3"/>
      <c r="N6" s="119">
        <f>I14</f>
        <v>18548.916414904332</v>
      </c>
      <c r="O6" s="120">
        <f>J14</f>
        <v>0.9</v>
      </c>
      <c r="P6" s="18">
        <f>N6*O6*1000*6</f>
        <v>100164148.64048338</v>
      </c>
      <c r="Q6" s="14"/>
    </row>
    <row r="7" spans="2:17">
      <c r="B7" s="8"/>
      <c r="C7" s="5" t="s">
        <v>49</v>
      </c>
      <c r="D7" s="5" t="s">
        <v>81</v>
      </c>
      <c r="E7" s="2"/>
      <c r="F7" s="2"/>
      <c r="G7" s="5" t="s">
        <v>49</v>
      </c>
      <c r="H7" s="5" t="s">
        <v>81</v>
      </c>
      <c r="I7" s="20" t="s">
        <v>60</v>
      </c>
      <c r="J7" s="5" t="s">
        <v>84</v>
      </c>
      <c r="K7" s="2"/>
      <c r="L7" s="2"/>
      <c r="M7" s="2"/>
      <c r="N7" s="21"/>
      <c r="O7" s="22"/>
      <c r="P7" s="23">
        <f>SUM(P5:P6)</f>
        <v>521415606.14048338</v>
      </c>
      <c r="Q7" s="14"/>
    </row>
    <row r="8" spans="2:17">
      <c r="B8" s="24">
        <v>42125</v>
      </c>
      <c r="C8" s="25">
        <v>18551.8</v>
      </c>
      <c r="D8" s="26">
        <v>4.07</v>
      </c>
      <c r="E8" s="2"/>
      <c r="F8" s="27">
        <v>42309</v>
      </c>
      <c r="G8" s="42">
        <v>18778</v>
      </c>
      <c r="H8" s="43">
        <v>0.46</v>
      </c>
      <c r="I8" s="2"/>
      <c r="J8" s="26"/>
      <c r="K8" s="2"/>
      <c r="L8" s="2"/>
      <c r="M8" s="2"/>
      <c r="N8" s="2"/>
      <c r="O8" s="2"/>
      <c r="P8" s="1"/>
      <c r="Q8" s="14"/>
    </row>
    <row r="9" spans="2:17">
      <c r="B9" s="24">
        <v>42156</v>
      </c>
      <c r="C9" s="25">
        <v>18137.8</v>
      </c>
      <c r="D9" s="26">
        <v>4.88</v>
      </c>
      <c r="E9" s="2"/>
      <c r="F9" s="27">
        <v>42339</v>
      </c>
      <c r="G9" s="42">
        <v>18439.599999999999</v>
      </c>
      <c r="H9" s="43">
        <v>1.28</v>
      </c>
      <c r="I9" s="44"/>
      <c r="J9" s="45"/>
      <c r="K9" s="2"/>
      <c r="L9" s="2"/>
      <c r="M9" s="604" t="s">
        <v>1</v>
      </c>
      <c r="N9" s="604"/>
      <c r="O9" s="28">
        <f>(O6+O5)*6*1000</f>
        <v>28349.999999999996</v>
      </c>
      <c r="P9" s="2"/>
      <c r="Q9" s="14"/>
    </row>
    <row r="10" spans="2:17">
      <c r="B10" s="24">
        <v>42186</v>
      </c>
      <c r="C10" s="25">
        <v>18180.7</v>
      </c>
      <c r="D10" s="26">
        <v>3.98</v>
      </c>
      <c r="E10" s="2"/>
      <c r="F10" s="27">
        <v>42370</v>
      </c>
      <c r="G10" s="42">
        <v>18322.599999999999</v>
      </c>
      <c r="H10" s="43">
        <v>1.37</v>
      </c>
      <c r="I10" s="47">
        <f>$G$10+(J10-$H$10)/$N$12</f>
        <v>18201.754078549846</v>
      </c>
      <c r="J10" s="136">
        <v>1.65</v>
      </c>
      <c r="K10" s="2"/>
      <c r="L10" s="2"/>
      <c r="M10" s="29"/>
      <c r="N10" s="29"/>
      <c r="O10" s="28"/>
      <c r="P10" s="2"/>
      <c r="Q10" s="14"/>
    </row>
    <row r="11" spans="2:17">
      <c r="B11" s="24">
        <v>42217</v>
      </c>
      <c r="C11" s="25">
        <v>18349.400000000001</v>
      </c>
      <c r="D11" s="26">
        <v>3.58</v>
      </c>
      <c r="E11" s="2"/>
      <c r="F11" s="27">
        <v>42401</v>
      </c>
      <c r="G11" s="46" t="s">
        <v>61</v>
      </c>
      <c r="H11" s="46" t="s">
        <v>61</v>
      </c>
      <c r="I11" s="47">
        <f>$G$10+(J11-$H$10)/$N$12</f>
        <v>18335.54777729823</v>
      </c>
      <c r="J11" s="48">
        <v>1.34</v>
      </c>
      <c r="K11" s="2"/>
      <c r="L11" s="30" t="s">
        <v>54</v>
      </c>
      <c r="M11" s="30"/>
      <c r="N11" s="30">
        <v>100</v>
      </c>
      <c r="O11" s="31" t="s">
        <v>55</v>
      </c>
      <c r="P11" s="2"/>
      <c r="Q11" s="14"/>
    </row>
    <row r="12" spans="2:17">
      <c r="B12" s="24">
        <v>42248</v>
      </c>
      <c r="C12" s="25">
        <v>18337.3</v>
      </c>
      <c r="D12" s="26">
        <v>3.48</v>
      </c>
      <c r="E12" s="2"/>
      <c r="F12" s="27">
        <v>42430</v>
      </c>
      <c r="G12" s="46" t="s">
        <v>61</v>
      </c>
      <c r="H12" s="46" t="s">
        <v>61</v>
      </c>
      <c r="I12" s="47">
        <f>$G$10+(J12-$H$10)/$N$12</f>
        <v>18698.085541648681</v>
      </c>
      <c r="J12" s="48">
        <v>0.5</v>
      </c>
      <c r="K12" s="2"/>
      <c r="L12" s="30" t="s">
        <v>56</v>
      </c>
      <c r="M12" s="30"/>
      <c r="N12" s="32">
        <v>-2.317E-3</v>
      </c>
      <c r="O12" s="31" t="s">
        <v>57</v>
      </c>
      <c r="P12" s="2"/>
      <c r="Q12" s="14"/>
    </row>
    <row r="13" spans="2:17">
      <c r="B13" s="24">
        <v>42278</v>
      </c>
      <c r="C13" s="25">
        <v>18574.099999999999</v>
      </c>
      <c r="D13" s="26">
        <v>2.96</v>
      </c>
      <c r="E13" s="2"/>
      <c r="F13" s="27">
        <v>42461</v>
      </c>
      <c r="G13" s="46" t="s">
        <v>61</v>
      </c>
      <c r="H13" s="46" t="s">
        <v>61</v>
      </c>
      <c r="I13" s="47">
        <f>$G$10+(J13-$H$10)/$N$12</f>
        <v>18719.665170479067</v>
      </c>
      <c r="J13" s="48">
        <v>0.45</v>
      </c>
      <c r="K13" s="2"/>
      <c r="L13" s="2"/>
      <c r="M13" s="2"/>
      <c r="N13" s="2"/>
      <c r="O13" s="2"/>
      <c r="P13" s="2"/>
      <c r="Q13" s="14"/>
    </row>
    <row r="14" spans="2:17">
      <c r="B14" s="33" t="s">
        <v>58</v>
      </c>
      <c r="C14" s="34">
        <f>AVERAGE(C8:C13)</f>
        <v>18355.183333333334</v>
      </c>
      <c r="D14" s="35">
        <f>AVERAGE(D8:D13)</f>
        <v>3.8249999999999997</v>
      </c>
      <c r="E14" s="2"/>
      <c r="F14" s="2"/>
      <c r="G14" s="2"/>
      <c r="H14" s="36" t="s">
        <v>58</v>
      </c>
      <c r="I14" s="34">
        <f>AVERAGE(I11:I13,G8:G10)</f>
        <v>18548.916414904332</v>
      </c>
      <c r="J14" s="35">
        <f>AVERAGE(J11:J13,H8:H10)</f>
        <v>0.9</v>
      </c>
      <c r="K14" s="2"/>
      <c r="L14" s="2"/>
      <c r="M14" s="2"/>
      <c r="N14" s="5" t="s">
        <v>49</v>
      </c>
      <c r="O14" s="5" t="s">
        <v>50</v>
      </c>
      <c r="P14" s="5" t="s">
        <v>51</v>
      </c>
      <c r="Q14" s="14"/>
    </row>
    <row r="15" spans="2:17">
      <c r="B15" s="8"/>
      <c r="C15" s="2"/>
      <c r="D15" s="2"/>
      <c r="E15" s="2"/>
      <c r="F15" s="2"/>
      <c r="G15" s="2"/>
      <c r="H15" s="2"/>
      <c r="I15" s="2"/>
      <c r="J15" s="2"/>
      <c r="K15" s="2"/>
      <c r="L15" s="5" t="s">
        <v>52</v>
      </c>
      <c r="M15" s="15"/>
      <c r="N15" s="16">
        <f>N11+N5</f>
        <v>18455.183333333334</v>
      </c>
      <c r="O15" s="17">
        <f>O5+N11*N12</f>
        <v>3.5932999999999997</v>
      </c>
      <c r="P15" s="18">
        <f>N15*O15*1000*6</f>
        <v>397890061.63</v>
      </c>
      <c r="Q15" s="14"/>
    </row>
    <row r="16" spans="2:17">
      <c r="B16" s="8"/>
      <c r="C16" s="2"/>
      <c r="D16" s="2"/>
      <c r="E16" s="2"/>
      <c r="F16" s="2"/>
      <c r="G16" s="2"/>
      <c r="H16" s="2"/>
      <c r="I16" s="2"/>
      <c r="J16" s="2"/>
      <c r="K16" s="2"/>
      <c r="L16" s="19" t="s">
        <v>53</v>
      </c>
      <c r="M16" s="3"/>
      <c r="N16" s="16">
        <f>N11+N6</f>
        <v>18648.916414904332</v>
      </c>
      <c r="O16" s="17">
        <f>O6+N11*N12</f>
        <v>0.66830000000000001</v>
      </c>
      <c r="P16" s="18">
        <f>N16*O16*1000*6</f>
        <v>74778425.040483385</v>
      </c>
      <c r="Q16" s="14"/>
    </row>
    <row r="17" spans="2:17">
      <c r="B17" s="8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7"/>
      <c r="O17" s="22"/>
      <c r="P17" s="23">
        <f>SUM(P15:P16)</f>
        <v>472668486.67048335</v>
      </c>
      <c r="Q17" s="14"/>
    </row>
    <row r="18" spans="2:17">
      <c r="B18" s="8"/>
      <c r="C18" s="606" t="s">
        <v>62</v>
      </c>
      <c r="D18" s="606"/>
      <c r="E18" s="606"/>
      <c r="F18" s="606"/>
      <c r="G18" s="606"/>
      <c r="H18" s="606"/>
      <c r="I18" s="606"/>
      <c r="J18" s="606"/>
      <c r="K18" s="606"/>
      <c r="L18" s="606"/>
      <c r="M18" s="2"/>
      <c r="N18" s="2"/>
      <c r="O18" s="2"/>
      <c r="P18" s="2"/>
      <c r="Q18" s="14"/>
    </row>
    <row r="19" spans="2:17">
      <c r="B19" s="8"/>
      <c r="C19" s="606"/>
      <c r="D19" s="606"/>
      <c r="E19" s="606"/>
      <c r="F19" s="606"/>
      <c r="G19" s="606"/>
      <c r="H19" s="606"/>
      <c r="I19" s="606"/>
      <c r="J19" s="606"/>
      <c r="K19" s="606"/>
      <c r="L19" s="606"/>
      <c r="M19" s="2"/>
      <c r="N19" s="604" t="s">
        <v>59</v>
      </c>
      <c r="O19" s="604"/>
      <c r="P19" s="38">
        <f>P17-P7</f>
        <v>-48747119.470000029</v>
      </c>
      <c r="Q19" s="14"/>
    </row>
    <row r="20" spans="2:17" ht="15" thickBot="1">
      <c r="B20" s="9"/>
      <c r="C20" s="114" t="s">
        <v>126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1"/>
    </row>
    <row r="21" spans="2:17" ht="15" thickBot="1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2:17" ht="18">
      <c r="B22" s="13"/>
      <c r="C22" s="40"/>
      <c r="D22" s="41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7"/>
    </row>
    <row r="23" spans="2:17">
      <c r="B23" s="8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115" t="s">
        <v>72</v>
      </c>
      <c r="O23" s="5" t="s">
        <v>50</v>
      </c>
      <c r="P23" s="115" t="s">
        <v>128</v>
      </c>
      <c r="Q23" s="14"/>
    </row>
    <row r="24" spans="2:17">
      <c r="B24" s="8"/>
      <c r="C24" s="2"/>
      <c r="D24" s="2"/>
      <c r="E24" s="2"/>
      <c r="F24" s="2"/>
      <c r="G24" s="2"/>
      <c r="H24" s="2"/>
      <c r="I24" s="2"/>
      <c r="J24" s="2"/>
      <c r="K24" s="2"/>
      <c r="L24" s="5" t="s">
        <v>52</v>
      </c>
      <c r="M24" s="15"/>
      <c r="N24" s="16">
        <f>C33</f>
        <v>4900.9999999999991</v>
      </c>
      <c r="O24" s="17">
        <f>D33</f>
        <v>9.0950000000000006</v>
      </c>
      <c r="P24" s="18">
        <f>N24*O24*1000*6</f>
        <v>267447569.99999994</v>
      </c>
      <c r="Q24" s="14"/>
    </row>
    <row r="25" spans="2:17">
      <c r="B25" s="8"/>
      <c r="C25" s="2"/>
      <c r="D25" s="2"/>
      <c r="E25" s="2"/>
      <c r="F25" s="2"/>
      <c r="G25" s="2"/>
      <c r="H25" s="2"/>
      <c r="I25" s="2"/>
      <c r="J25" s="2"/>
      <c r="K25" s="2"/>
      <c r="L25" s="19" t="s">
        <v>53</v>
      </c>
      <c r="M25" s="3"/>
      <c r="N25" s="119">
        <f>I33</f>
        <v>5010.3895237382058</v>
      </c>
      <c r="O25" s="120">
        <f>J33</f>
        <v>3.2900000000000005</v>
      </c>
      <c r="P25" s="18">
        <f>N25*O25*1000*6</f>
        <v>98905089.198592216</v>
      </c>
      <c r="Q25" s="14"/>
    </row>
    <row r="26" spans="2:17">
      <c r="B26" s="8"/>
      <c r="C26" s="5" t="s">
        <v>72</v>
      </c>
      <c r="D26" s="5" t="s">
        <v>82</v>
      </c>
      <c r="E26" s="2"/>
      <c r="F26" s="2"/>
      <c r="G26" s="5" t="s">
        <v>72</v>
      </c>
      <c r="H26" s="5" t="s">
        <v>82</v>
      </c>
      <c r="I26" s="20" t="s">
        <v>60</v>
      </c>
      <c r="J26" s="5" t="s">
        <v>85</v>
      </c>
      <c r="K26" s="2"/>
      <c r="L26" s="2"/>
      <c r="M26" s="2"/>
      <c r="N26" s="21"/>
      <c r="O26" s="22"/>
      <c r="P26" s="23">
        <f>SUM(P24:P25)</f>
        <v>366352659.19859219</v>
      </c>
      <c r="Q26" s="14"/>
    </row>
    <row r="27" spans="2:17">
      <c r="B27" s="24">
        <v>42125</v>
      </c>
      <c r="C27" s="42">
        <v>4664.6000000000004</v>
      </c>
      <c r="D27" s="48">
        <v>10.93</v>
      </c>
      <c r="E27" s="2"/>
      <c r="F27" s="27">
        <v>42309</v>
      </c>
      <c r="G27" s="42">
        <v>5011.3999999999996</v>
      </c>
      <c r="H27" s="43">
        <v>3.46</v>
      </c>
      <c r="I27" s="2"/>
      <c r="J27" s="48"/>
      <c r="K27" s="2"/>
      <c r="L27" s="2"/>
      <c r="M27" s="2"/>
      <c r="N27" s="2"/>
      <c r="O27" s="2"/>
      <c r="P27" s="1"/>
      <c r="Q27" s="14"/>
    </row>
    <row r="28" spans="2:17">
      <c r="B28" s="24">
        <v>42156</v>
      </c>
      <c r="C28" s="42">
        <v>4670.5</v>
      </c>
      <c r="D28" s="48">
        <v>10.56</v>
      </c>
      <c r="E28" s="2"/>
      <c r="F28" s="27">
        <v>42339</v>
      </c>
      <c r="G28" s="42">
        <v>5003.2999999999993</v>
      </c>
      <c r="H28" s="43">
        <v>3.48</v>
      </c>
      <c r="I28" s="44"/>
      <c r="J28" s="45"/>
      <c r="K28" s="2"/>
      <c r="L28" s="2"/>
      <c r="M28" s="604" t="s">
        <v>1</v>
      </c>
      <c r="N28" s="604"/>
      <c r="O28" s="28">
        <f>(O25+O24)*6*1000</f>
        <v>74310</v>
      </c>
      <c r="P28" s="2"/>
      <c r="Q28" s="14"/>
    </row>
    <row r="29" spans="2:17">
      <c r="B29" s="24">
        <v>42186</v>
      </c>
      <c r="C29" s="42">
        <v>5007.3999999999996</v>
      </c>
      <c r="D29" s="48">
        <v>8.36</v>
      </c>
      <c r="E29" s="2"/>
      <c r="F29" s="27">
        <v>42370</v>
      </c>
      <c r="G29" s="42">
        <v>5017.8999999999996</v>
      </c>
      <c r="H29" s="43">
        <v>3.16</v>
      </c>
      <c r="I29" s="44">
        <f>$G$29+(J29-$H$29)/$N$31</f>
        <v>4975.9649992511604</v>
      </c>
      <c r="J29" s="136">
        <v>3.44</v>
      </c>
      <c r="K29" s="2"/>
      <c r="L29" s="2"/>
      <c r="M29" s="49"/>
      <c r="N29" s="49"/>
      <c r="O29" s="28"/>
      <c r="P29" s="2"/>
      <c r="Q29" s="14"/>
    </row>
    <row r="30" spans="2:17">
      <c r="B30" s="24">
        <v>42217</v>
      </c>
      <c r="C30" s="42">
        <v>5018.2999999999993</v>
      </c>
      <c r="D30" s="48">
        <v>8.32</v>
      </c>
      <c r="E30" s="2"/>
      <c r="F30" s="27">
        <v>42401</v>
      </c>
      <c r="G30" s="46" t="s">
        <v>61</v>
      </c>
      <c r="H30" s="46" t="s">
        <v>61</v>
      </c>
      <c r="I30" s="44">
        <f>$G$29+(J30-$H$29)/$N$31</f>
        <v>5011.9092856073084</v>
      </c>
      <c r="J30" s="86">
        <v>3.2</v>
      </c>
      <c r="K30" s="2"/>
      <c r="L30" s="30" t="s">
        <v>54</v>
      </c>
      <c r="M30" s="30"/>
      <c r="N30" s="30">
        <v>100</v>
      </c>
      <c r="O30" s="31" t="s">
        <v>55</v>
      </c>
      <c r="P30" s="2"/>
      <c r="Q30" s="14"/>
    </row>
    <row r="31" spans="2:17">
      <c r="B31" s="24">
        <v>42248</v>
      </c>
      <c r="C31" s="42">
        <v>5021.5999999999985</v>
      </c>
      <c r="D31" s="48">
        <v>8.27</v>
      </c>
      <c r="E31" s="2"/>
      <c r="F31" s="27">
        <v>42430</v>
      </c>
      <c r="G31" s="46" t="s">
        <v>61</v>
      </c>
      <c r="H31" s="46" t="s">
        <v>61</v>
      </c>
      <c r="I31" s="44">
        <f>$G$29+(J31-$H$29)/$N$31</f>
        <v>5011.9092856073084</v>
      </c>
      <c r="J31" s="86">
        <v>3.2</v>
      </c>
      <c r="K31" s="2"/>
      <c r="L31" s="30" t="s">
        <v>56</v>
      </c>
      <c r="M31" s="30"/>
      <c r="N31" s="32">
        <v>-6.6769999999999998E-3</v>
      </c>
      <c r="O31" s="31" t="s">
        <v>57</v>
      </c>
      <c r="P31" s="2"/>
      <c r="Q31" s="14"/>
    </row>
    <row r="32" spans="2:17">
      <c r="B32" s="24">
        <v>42278</v>
      </c>
      <c r="C32" s="42">
        <v>5023.5999999999985</v>
      </c>
      <c r="D32" s="48">
        <v>8.1300000000000008</v>
      </c>
      <c r="E32" s="2"/>
      <c r="F32" s="27">
        <v>42461</v>
      </c>
      <c r="G32" s="46" t="s">
        <v>61</v>
      </c>
      <c r="H32" s="46" t="s">
        <v>61</v>
      </c>
      <c r="I32" s="44">
        <f>$G$29+(J32-$H$29)/$N$31</f>
        <v>5005.9185712146173</v>
      </c>
      <c r="J32" s="86">
        <v>3.24</v>
      </c>
      <c r="K32" s="2"/>
      <c r="L32" s="2"/>
      <c r="M32" s="2"/>
      <c r="N32" s="2"/>
      <c r="O32" s="2"/>
      <c r="P32" s="2"/>
      <c r="Q32" s="14"/>
    </row>
    <row r="33" spans="2:19">
      <c r="B33" s="33" t="s">
        <v>58</v>
      </c>
      <c r="C33" s="34">
        <f>AVERAGE(C27:C32)</f>
        <v>4900.9999999999991</v>
      </c>
      <c r="D33" s="35">
        <f>AVERAGE(D27:D32)</f>
        <v>9.0950000000000006</v>
      </c>
      <c r="E33" s="2"/>
      <c r="F33" s="2"/>
      <c r="G33" s="2"/>
      <c r="H33" s="36" t="s">
        <v>58</v>
      </c>
      <c r="I33" s="34">
        <f>AVERAGE(I30:I32,G27:G29)</f>
        <v>5010.3895237382058</v>
      </c>
      <c r="J33" s="35">
        <f>AVERAGE(J30:J32,H27:H29)</f>
        <v>3.2900000000000005</v>
      </c>
      <c r="K33" s="2"/>
      <c r="L33" s="2"/>
      <c r="M33" s="2"/>
      <c r="N33" s="115" t="s">
        <v>72</v>
      </c>
      <c r="O33" s="5" t="s">
        <v>50</v>
      </c>
      <c r="P33" s="115" t="s">
        <v>128</v>
      </c>
      <c r="Q33" s="14"/>
    </row>
    <row r="34" spans="2:19">
      <c r="B34" s="8"/>
      <c r="C34" s="2"/>
      <c r="D34" s="2"/>
      <c r="E34" s="2"/>
      <c r="F34" s="2"/>
      <c r="G34" s="2"/>
      <c r="H34" s="2"/>
      <c r="I34" s="2"/>
      <c r="J34" s="2"/>
      <c r="K34" s="2"/>
      <c r="L34" s="5" t="s">
        <v>52</v>
      </c>
      <c r="M34" s="15"/>
      <c r="N34" s="16">
        <f>N30+N24</f>
        <v>5000.9999999999991</v>
      </c>
      <c r="O34" s="17">
        <f>O24+N30*N31</f>
        <v>8.4273000000000007</v>
      </c>
      <c r="P34" s="18">
        <f>N34*O34*1000*6</f>
        <v>252869563.79999998</v>
      </c>
      <c r="Q34" s="14"/>
    </row>
    <row r="35" spans="2:19">
      <c r="B35" s="8"/>
      <c r="C35" s="2"/>
      <c r="D35" s="2"/>
      <c r="E35" s="2"/>
      <c r="F35" s="2"/>
      <c r="G35" s="2"/>
      <c r="H35" s="2"/>
      <c r="I35" s="2"/>
      <c r="J35" s="2"/>
      <c r="K35" s="2"/>
      <c r="L35" s="19" t="s">
        <v>53</v>
      </c>
      <c r="M35" s="3"/>
      <c r="N35" s="119">
        <f>N30+N25</f>
        <v>5110.3895237382058</v>
      </c>
      <c r="O35" s="120">
        <f>O25+N30*N31</f>
        <v>2.6223000000000005</v>
      </c>
      <c r="P35" s="18">
        <f>N35*O35*1000*6</f>
        <v>80405846.688592196</v>
      </c>
      <c r="Q35" s="14"/>
      <c r="S35" s="118"/>
    </row>
    <row r="36" spans="2:19">
      <c r="B36" s="8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37"/>
      <c r="O36" s="22"/>
      <c r="P36" s="23">
        <f>SUM(P34:P35)</f>
        <v>333275410.48859215</v>
      </c>
      <c r="Q36" s="14"/>
    </row>
    <row r="37" spans="2:19">
      <c r="B37" s="8"/>
      <c r="C37" s="605" t="s">
        <v>96</v>
      </c>
      <c r="D37" s="605"/>
      <c r="E37" s="605"/>
      <c r="F37" s="605"/>
      <c r="G37" s="605"/>
      <c r="H37" s="605"/>
      <c r="I37" s="605"/>
      <c r="J37" s="605"/>
      <c r="K37" s="605"/>
      <c r="L37" s="605"/>
      <c r="M37" s="2"/>
      <c r="N37" s="2"/>
      <c r="O37" s="2"/>
      <c r="P37" s="2"/>
      <c r="Q37" s="14"/>
    </row>
    <row r="38" spans="2:19">
      <c r="B38" s="8"/>
      <c r="C38" s="605"/>
      <c r="D38" s="605"/>
      <c r="E38" s="605"/>
      <c r="F38" s="605"/>
      <c r="G38" s="605"/>
      <c r="H38" s="605"/>
      <c r="I38" s="605"/>
      <c r="J38" s="605"/>
      <c r="K38" s="605"/>
      <c r="L38" s="605"/>
      <c r="M38" s="2"/>
      <c r="N38" s="604" t="s">
        <v>59</v>
      </c>
      <c r="O38" s="604"/>
      <c r="P38" s="38">
        <f>P36-P26</f>
        <v>-33077248.710000038</v>
      </c>
      <c r="Q38" s="14"/>
    </row>
    <row r="39" spans="2:19" ht="15" thickBot="1">
      <c r="B39" s="9"/>
      <c r="C39" s="114" t="s">
        <v>126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1"/>
    </row>
    <row r="40" spans="2:19" ht="15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2:19" ht="18">
      <c r="B41" s="13"/>
      <c r="C41" s="40"/>
      <c r="D41" s="41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7"/>
    </row>
    <row r="42" spans="2:19">
      <c r="B42" s="8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115" t="s">
        <v>73</v>
      </c>
      <c r="O42" s="5" t="s">
        <v>50</v>
      </c>
      <c r="P42" s="115" t="s">
        <v>127</v>
      </c>
      <c r="Q42" s="14"/>
      <c r="S42" s="42"/>
    </row>
    <row r="43" spans="2:19">
      <c r="B43" s="8"/>
      <c r="C43" s="2"/>
      <c r="D43" s="2"/>
      <c r="E43" s="2"/>
      <c r="F43" s="2"/>
      <c r="G43" s="2"/>
      <c r="H43" s="2"/>
      <c r="I43" s="2"/>
      <c r="J43" s="2"/>
      <c r="K43" s="2"/>
      <c r="L43" s="5" t="s">
        <v>52</v>
      </c>
      <c r="M43" s="15"/>
      <c r="N43" s="16">
        <f>C52</f>
        <v>9679.6166666666686</v>
      </c>
      <c r="O43" s="17">
        <f>D52</f>
        <v>15.383333333333335</v>
      </c>
      <c r="P43" s="18">
        <f>N43*O43*1000*6</f>
        <v>893428618.33333361</v>
      </c>
      <c r="Q43" s="14"/>
      <c r="S43" s="42"/>
    </row>
    <row r="44" spans="2:19">
      <c r="B44" s="8"/>
      <c r="C44" s="2"/>
      <c r="D44" s="2"/>
      <c r="E44" s="2"/>
      <c r="F44" s="2"/>
      <c r="G44" s="2"/>
      <c r="H44" s="2"/>
      <c r="I44" s="2"/>
      <c r="J44" s="2"/>
      <c r="K44" s="2"/>
      <c r="L44" s="19" t="s">
        <v>53</v>
      </c>
      <c r="M44" s="3"/>
      <c r="N44" s="119">
        <f>I52</f>
        <v>10055.601780254214</v>
      </c>
      <c r="O44" s="120">
        <f>J52</f>
        <v>6.14</v>
      </c>
      <c r="P44" s="18">
        <f>N44*O44*1000*6</f>
        <v>370448369.58456522</v>
      </c>
      <c r="Q44" s="14"/>
    </row>
    <row r="45" spans="2:19">
      <c r="B45" s="8"/>
      <c r="C45" s="5" t="s">
        <v>73</v>
      </c>
      <c r="D45" s="5" t="s">
        <v>83</v>
      </c>
      <c r="E45" s="2"/>
      <c r="F45" s="2"/>
      <c r="G45" s="5" t="s">
        <v>73</v>
      </c>
      <c r="H45" s="5" t="s">
        <v>83</v>
      </c>
      <c r="I45" s="20" t="s">
        <v>60</v>
      </c>
      <c r="J45" s="5" t="s">
        <v>86</v>
      </c>
      <c r="K45" s="2"/>
      <c r="L45" s="2"/>
      <c r="M45" s="2"/>
      <c r="N45" s="21"/>
      <c r="O45" s="22"/>
      <c r="P45" s="23">
        <f>SUM(P43:P44)</f>
        <v>1263876987.9178989</v>
      </c>
      <c r="Q45" s="14"/>
    </row>
    <row r="46" spans="2:19">
      <c r="B46" s="24">
        <v>42125</v>
      </c>
      <c r="C46" s="47">
        <v>9625.3000000000011</v>
      </c>
      <c r="D46" s="43">
        <v>16.04</v>
      </c>
      <c r="E46" s="2"/>
      <c r="F46" s="27">
        <v>42309</v>
      </c>
      <c r="G46" s="42">
        <v>10039</v>
      </c>
      <c r="H46" s="43">
        <v>6.36</v>
      </c>
      <c r="I46" s="2"/>
      <c r="J46" s="48"/>
      <c r="K46" s="2"/>
      <c r="L46" s="2"/>
      <c r="M46" s="2"/>
      <c r="N46" s="2"/>
      <c r="O46" s="2"/>
      <c r="P46" s="1"/>
      <c r="Q46" s="14"/>
    </row>
    <row r="47" spans="2:19">
      <c r="B47" s="24">
        <v>42156</v>
      </c>
      <c r="C47" s="42">
        <v>9677.5</v>
      </c>
      <c r="D47" s="43">
        <v>15.41</v>
      </c>
      <c r="E47" s="2"/>
      <c r="F47" s="27">
        <v>42339</v>
      </c>
      <c r="G47" s="42">
        <v>10044.1</v>
      </c>
      <c r="H47" s="43">
        <v>6.29</v>
      </c>
      <c r="I47" s="44"/>
      <c r="J47" s="45"/>
      <c r="K47" s="2"/>
      <c r="L47" s="2"/>
      <c r="M47" s="604" t="s">
        <v>1</v>
      </c>
      <c r="N47" s="604"/>
      <c r="O47" s="28">
        <f>(O44+O43)*6*1000*1</f>
        <v>129139.99999999999</v>
      </c>
      <c r="P47" s="2"/>
      <c r="Q47" s="14"/>
    </row>
    <row r="48" spans="2:19">
      <c r="B48" s="24">
        <v>42186</v>
      </c>
      <c r="C48" s="42">
        <v>9689.7000000000007</v>
      </c>
      <c r="D48" s="43">
        <v>15.26</v>
      </c>
      <c r="E48" s="2"/>
      <c r="F48" s="27">
        <v>42370</v>
      </c>
      <c r="G48" s="42">
        <v>10077.6</v>
      </c>
      <c r="H48" s="43">
        <v>5.85</v>
      </c>
      <c r="I48" s="44">
        <f>$G$48+(J48-$H$48)/$N$50</f>
        <v>10048.034387082102</v>
      </c>
      <c r="J48" s="136">
        <v>6.24</v>
      </c>
      <c r="K48" s="2"/>
      <c r="L48" s="2"/>
      <c r="M48" s="49"/>
      <c r="N48" s="49"/>
      <c r="O48" s="28"/>
      <c r="P48" s="2"/>
      <c r="Q48" s="14"/>
    </row>
    <row r="49" spans="2:21">
      <c r="B49" s="24">
        <v>42217</v>
      </c>
      <c r="C49" s="42">
        <v>9685.2000000000007</v>
      </c>
      <c r="D49" s="43">
        <v>15.32</v>
      </c>
      <c r="E49" s="2"/>
      <c r="F49" s="27">
        <v>42401</v>
      </c>
      <c r="G49" s="46" t="s">
        <v>61</v>
      </c>
      <c r="H49" s="46" t="s">
        <v>61</v>
      </c>
      <c r="I49" s="44">
        <f>$G$48+(J49-$H$48)/$N$50</f>
        <v>10058.647684026988</v>
      </c>
      <c r="J49" s="48">
        <v>6.1</v>
      </c>
      <c r="K49" s="2"/>
      <c r="L49" s="30" t="s">
        <v>54</v>
      </c>
      <c r="M49" s="30"/>
      <c r="N49" s="30">
        <v>100</v>
      </c>
      <c r="O49" s="31" t="s">
        <v>55</v>
      </c>
      <c r="P49" s="2"/>
      <c r="Q49" s="14"/>
    </row>
    <row r="50" spans="2:21">
      <c r="B50" s="24">
        <v>42248</v>
      </c>
      <c r="C50" s="42">
        <v>9689.7000000000007</v>
      </c>
      <c r="D50" s="43">
        <v>15.26</v>
      </c>
      <c r="E50" s="2"/>
      <c r="F50" s="27">
        <v>42430</v>
      </c>
      <c r="G50" s="46" t="s">
        <v>61</v>
      </c>
      <c r="H50" s="46" t="s">
        <v>61</v>
      </c>
      <c r="I50" s="44">
        <f>$G$48+(J50-$H$48)/$N$50</f>
        <v>10058.647684026988</v>
      </c>
      <c r="J50" s="48">
        <v>6.1</v>
      </c>
      <c r="K50" s="2"/>
      <c r="L50" s="30" t="s">
        <v>56</v>
      </c>
      <c r="M50" s="30"/>
      <c r="N50" s="32">
        <f>-0.013191*1</f>
        <v>-1.3191E-2</v>
      </c>
      <c r="O50" s="31" t="s">
        <v>57</v>
      </c>
      <c r="P50" s="2"/>
      <c r="Q50" s="14"/>
      <c r="T50" s="89"/>
      <c r="U50" s="89"/>
    </row>
    <row r="51" spans="2:21">
      <c r="B51" s="24">
        <v>42278</v>
      </c>
      <c r="C51" s="42">
        <v>9710.2999999999993</v>
      </c>
      <c r="D51" s="43">
        <v>15.01</v>
      </c>
      <c r="E51" s="2"/>
      <c r="F51" s="27">
        <v>42461</v>
      </c>
      <c r="G51" s="46" t="s">
        <v>61</v>
      </c>
      <c r="H51" s="46" t="s">
        <v>61</v>
      </c>
      <c r="I51" s="44">
        <f>$G$48+(J51-$H$48)/$N$50</f>
        <v>10055.615313471306</v>
      </c>
      <c r="J51" s="48">
        <v>6.14</v>
      </c>
      <c r="K51" s="2"/>
      <c r="L51" s="2"/>
      <c r="M51" s="2"/>
      <c r="N51" s="2"/>
      <c r="O51" s="2"/>
      <c r="P51" s="2"/>
      <c r="Q51" s="14"/>
    </row>
    <row r="52" spans="2:21">
      <c r="B52" s="33" t="s">
        <v>58</v>
      </c>
      <c r="C52" s="34">
        <f>AVERAGE(C46:C51)</f>
        <v>9679.6166666666686</v>
      </c>
      <c r="D52" s="35">
        <f>AVERAGE(D46:D51)</f>
        <v>15.383333333333335</v>
      </c>
      <c r="E52" s="2"/>
      <c r="F52" s="2"/>
      <c r="G52" s="2"/>
      <c r="H52" s="36" t="s">
        <v>58</v>
      </c>
      <c r="I52" s="34">
        <f>AVERAGE(I49:I51,G46:G48)</f>
        <v>10055.601780254214</v>
      </c>
      <c r="J52" s="35">
        <f>AVERAGE(J49:J51,H46:H48)</f>
        <v>6.14</v>
      </c>
      <c r="K52" s="2"/>
      <c r="L52" s="2"/>
      <c r="M52" s="2"/>
      <c r="N52" s="115" t="s">
        <v>73</v>
      </c>
      <c r="O52" s="5" t="s">
        <v>50</v>
      </c>
      <c r="P52" s="115" t="s">
        <v>127</v>
      </c>
      <c r="Q52" s="14"/>
    </row>
    <row r="53" spans="2:21">
      <c r="B53" s="8"/>
      <c r="C53" s="2"/>
      <c r="D53" s="2"/>
      <c r="E53" s="2"/>
      <c r="F53" s="2"/>
      <c r="G53" s="2"/>
      <c r="H53" s="2"/>
      <c r="I53" s="2"/>
      <c r="J53" s="2"/>
      <c r="K53" s="2"/>
      <c r="L53" s="5" t="s">
        <v>52</v>
      </c>
      <c r="M53" s="15"/>
      <c r="N53" s="16">
        <f>N49+N43</f>
        <v>9779.6166666666686</v>
      </c>
      <c r="O53" s="17">
        <f>O43+N49*N50</f>
        <v>14.064233333333334</v>
      </c>
      <c r="P53" s="18">
        <f>N53*O53*1000*6</f>
        <v>825256864.26333356</v>
      </c>
      <c r="Q53" s="14"/>
    </row>
    <row r="54" spans="2:21">
      <c r="B54" s="8"/>
      <c r="C54" s="2"/>
      <c r="D54" s="2"/>
      <c r="E54" s="2"/>
      <c r="F54" s="2"/>
      <c r="G54" s="2"/>
      <c r="H54" s="2"/>
      <c r="I54" s="2"/>
      <c r="J54" s="2"/>
      <c r="K54" s="2"/>
      <c r="L54" s="19" t="s">
        <v>53</v>
      </c>
      <c r="M54" s="3"/>
      <c r="N54" s="119">
        <f>N49+N44</f>
        <v>10155.601780254214</v>
      </c>
      <c r="O54" s="120">
        <f>O44+N49*N50</f>
        <v>4.8209</v>
      </c>
      <c r="P54" s="18">
        <f>N54*O54*1000*6</f>
        <v>293754843.73456526</v>
      </c>
      <c r="Q54" s="14"/>
    </row>
    <row r="55" spans="2:21">
      <c r="B55" s="8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7"/>
      <c r="O55" s="22"/>
      <c r="P55" s="23">
        <f>SUM(P53:P54)</f>
        <v>1119011707.9978988</v>
      </c>
      <c r="Q55" s="14"/>
    </row>
    <row r="56" spans="2:21">
      <c r="B56" s="8"/>
      <c r="C56" s="605" t="s">
        <v>97</v>
      </c>
      <c r="D56" s="605"/>
      <c r="E56" s="605"/>
      <c r="F56" s="605"/>
      <c r="G56" s="605"/>
      <c r="H56" s="605"/>
      <c r="I56" s="605"/>
      <c r="J56" s="605"/>
      <c r="K56" s="605"/>
      <c r="L56" s="605"/>
      <c r="M56" s="2"/>
      <c r="N56" s="2"/>
      <c r="O56" s="2"/>
      <c r="P56" s="2"/>
      <c r="Q56" s="14"/>
    </row>
    <row r="57" spans="2:21">
      <c r="B57" s="8"/>
      <c r="C57" s="605"/>
      <c r="D57" s="605"/>
      <c r="E57" s="605"/>
      <c r="F57" s="605"/>
      <c r="G57" s="605"/>
      <c r="H57" s="605"/>
      <c r="I57" s="605"/>
      <c r="J57" s="605"/>
      <c r="K57" s="605"/>
      <c r="L57" s="605"/>
      <c r="M57" s="2"/>
      <c r="N57" s="604" t="s">
        <v>59</v>
      </c>
      <c r="O57" s="604"/>
      <c r="P57" s="38">
        <f>P55-P45</f>
        <v>-144865279.92000008</v>
      </c>
      <c r="Q57" s="14"/>
    </row>
    <row r="58" spans="2:21" ht="15" thickBot="1">
      <c r="B58" s="9"/>
      <c r="C58" s="114" t="s">
        <v>126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1"/>
    </row>
    <row r="59" spans="2:21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2:21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</sheetData>
  <mergeCells count="9">
    <mergeCell ref="M47:N47"/>
    <mergeCell ref="C56:L57"/>
    <mergeCell ref="N57:O57"/>
    <mergeCell ref="M9:N9"/>
    <mergeCell ref="C18:L19"/>
    <mergeCell ref="N19:O19"/>
    <mergeCell ref="M28:N28"/>
    <mergeCell ref="C37:L38"/>
    <mergeCell ref="N38:O3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AF46"/>
  <sheetViews>
    <sheetView workbookViewId="0">
      <selection activeCell="B48" sqref="B48"/>
    </sheetView>
  </sheetViews>
  <sheetFormatPr defaultRowHeight="14.4"/>
  <cols>
    <col min="1" max="1" width="2.88671875" customWidth="1"/>
    <col min="2" max="2" width="21.6640625" customWidth="1"/>
    <col min="3" max="3" width="9" bestFit="1" customWidth="1"/>
    <col min="4" max="4" width="9.109375" bestFit="1" customWidth="1"/>
    <col min="5" max="7" width="8.109375" bestFit="1" customWidth="1"/>
    <col min="8" max="8" width="8.5546875" bestFit="1" customWidth="1"/>
    <col min="9" max="10" width="8.109375" bestFit="1" customWidth="1"/>
    <col min="11" max="12" width="7.88671875" bestFit="1" customWidth="1"/>
    <col min="13" max="32" width="6.88671875" bestFit="1" customWidth="1"/>
  </cols>
  <sheetData>
    <row r="1" spans="2:32"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2:32" ht="16.2" thickBot="1">
      <c r="B2" s="97" t="s">
        <v>46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 s="88">
        <v>12</v>
      </c>
      <c r="O2" s="88">
        <v>13</v>
      </c>
      <c r="P2" s="88">
        <v>14</v>
      </c>
      <c r="Q2" s="88">
        <v>15</v>
      </c>
      <c r="R2" s="88">
        <v>16</v>
      </c>
      <c r="S2" s="88">
        <v>17</v>
      </c>
      <c r="T2" s="88">
        <v>18</v>
      </c>
      <c r="U2" s="88">
        <v>19</v>
      </c>
      <c r="V2" s="88">
        <v>20</v>
      </c>
      <c r="W2" s="88">
        <v>21</v>
      </c>
      <c r="X2" s="88">
        <v>22</v>
      </c>
      <c r="Y2" s="88">
        <v>23</v>
      </c>
      <c r="Z2" s="88">
        <v>24</v>
      </c>
      <c r="AA2" s="88">
        <v>25</v>
      </c>
      <c r="AB2" s="88">
        <v>26</v>
      </c>
      <c r="AC2" s="88">
        <v>27</v>
      </c>
      <c r="AD2" s="88">
        <v>28</v>
      </c>
      <c r="AE2" s="88">
        <v>29</v>
      </c>
      <c r="AF2" s="88">
        <v>30</v>
      </c>
    </row>
    <row r="3" spans="2:32">
      <c r="B3">
        <v>1</v>
      </c>
      <c r="C3" s="107">
        <f t="shared" ref="C3:C18" si="0">IF(C$2&gt;$B3,0,100%/$B3)</f>
        <v>1</v>
      </c>
      <c r="D3" s="110">
        <f t="shared" ref="D3:AF11" si="1">IF(D$2&gt;$B3,0,100%/$B3)</f>
        <v>0</v>
      </c>
      <c r="E3" s="110">
        <f t="shared" si="1"/>
        <v>0</v>
      </c>
      <c r="F3" s="110">
        <f t="shared" si="1"/>
        <v>0</v>
      </c>
      <c r="G3" s="110">
        <f t="shared" si="1"/>
        <v>0</v>
      </c>
      <c r="H3" s="110">
        <f t="shared" si="1"/>
        <v>0</v>
      </c>
      <c r="I3" s="110">
        <f t="shared" si="1"/>
        <v>0</v>
      </c>
      <c r="J3" s="110">
        <f t="shared" si="1"/>
        <v>0</v>
      </c>
      <c r="K3" s="110">
        <f t="shared" si="1"/>
        <v>0</v>
      </c>
      <c r="L3" s="110">
        <f t="shared" si="1"/>
        <v>0</v>
      </c>
      <c r="M3" s="110">
        <f t="shared" si="1"/>
        <v>0</v>
      </c>
      <c r="N3" s="110">
        <f t="shared" si="1"/>
        <v>0</v>
      </c>
      <c r="O3" s="110">
        <f t="shared" si="1"/>
        <v>0</v>
      </c>
      <c r="P3" s="110">
        <f t="shared" si="1"/>
        <v>0</v>
      </c>
      <c r="Q3" s="110">
        <f t="shared" si="1"/>
        <v>0</v>
      </c>
      <c r="R3" s="110">
        <f t="shared" si="1"/>
        <v>0</v>
      </c>
      <c r="S3" s="110">
        <f t="shared" si="1"/>
        <v>0</v>
      </c>
      <c r="T3" s="110">
        <f t="shared" si="1"/>
        <v>0</v>
      </c>
      <c r="U3" s="110">
        <f t="shared" si="1"/>
        <v>0</v>
      </c>
      <c r="V3" s="110">
        <f t="shared" si="1"/>
        <v>0</v>
      </c>
      <c r="W3" s="110">
        <f t="shared" si="1"/>
        <v>0</v>
      </c>
      <c r="X3" s="110">
        <f t="shared" si="1"/>
        <v>0</v>
      </c>
      <c r="Y3" s="110">
        <f t="shared" si="1"/>
        <v>0</v>
      </c>
      <c r="Z3" s="110">
        <f t="shared" si="1"/>
        <v>0</v>
      </c>
      <c r="AA3" s="110">
        <f t="shared" si="1"/>
        <v>0</v>
      </c>
      <c r="AB3" s="110">
        <f t="shared" si="1"/>
        <v>0</v>
      </c>
      <c r="AC3" s="110">
        <f t="shared" si="1"/>
        <v>0</v>
      </c>
      <c r="AD3" s="110">
        <f t="shared" si="1"/>
        <v>0</v>
      </c>
      <c r="AE3" s="110">
        <f t="shared" si="1"/>
        <v>0</v>
      </c>
      <c r="AF3" s="111">
        <f t="shared" si="1"/>
        <v>0</v>
      </c>
    </row>
    <row r="4" spans="2:32">
      <c r="B4">
        <v>2</v>
      </c>
      <c r="C4" s="106">
        <f t="shared" si="0"/>
        <v>0.5</v>
      </c>
      <c r="D4" s="109">
        <f t="shared" si="1"/>
        <v>0.5</v>
      </c>
      <c r="E4" s="109">
        <f t="shared" si="1"/>
        <v>0</v>
      </c>
      <c r="F4" s="109">
        <f t="shared" si="1"/>
        <v>0</v>
      </c>
      <c r="G4" s="109">
        <f t="shared" si="1"/>
        <v>0</v>
      </c>
      <c r="H4" s="109">
        <f t="shared" si="1"/>
        <v>0</v>
      </c>
      <c r="I4" s="109">
        <f t="shared" si="1"/>
        <v>0</v>
      </c>
      <c r="J4" s="109">
        <f t="shared" si="1"/>
        <v>0</v>
      </c>
      <c r="K4" s="109">
        <f t="shared" si="1"/>
        <v>0</v>
      </c>
      <c r="L4" s="109">
        <f t="shared" si="1"/>
        <v>0</v>
      </c>
      <c r="M4" s="109">
        <f t="shared" si="1"/>
        <v>0</v>
      </c>
      <c r="N4" s="109">
        <f t="shared" si="1"/>
        <v>0</v>
      </c>
      <c r="O4" s="109">
        <f t="shared" si="1"/>
        <v>0</v>
      </c>
      <c r="P4" s="109">
        <f t="shared" si="1"/>
        <v>0</v>
      </c>
      <c r="Q4" s="109">
        <f t="shared" si="1"/>
        <v>0</v>
      </c>
      <c r="R4" s="109">
        <f t="shared" si="1"/>
        <v>0</v>
      </c>
      <c r="S4" s="109">
        <f t="shared" si="1"/>
        <v>0</v>
      </c>
      <c r="T4" s="109">
        <f t="shared" si="1"/>
        <v>0</v>
      </c>
      <c r="U4" s="109">
        <f t="shared" si="1"/>
        <v>0</v>
      </c>
      <c r="V4" s="109">
        <f t="shared" si="1"/>
        <v>0</v>
      </c>
      <c r="W4" s="109">
        <f t="shared" si="1"/>
        <v>0</v>
      </c>
      <c r="X4" s="109">
        <f t="shared" si="1"/>
        <v>0</v>
      </c>
      <c r="Y4" s="109">
        <f t="shared" si="1"/>
        <v>0</v>
      </c>
      <c r="Z4" s="109">
        <f t="shared" si="1"/>
        <v>0</v>
      </c>
      <c r="AA4" s="109">
        <f t="shared" si="1"/>
        <v>0</v>
      </c>
      <c r="AB4" s="109">
        <f t="shared" si="1"/>
        <v>0</v>
      </c>
      <c r="AC4" s="109">
        <f t="shared" si="1"/>
        <v>0</v>
      </c>
      <c r="AD4" s="109">
        <f t="shared" si="1"/>
        <v>0</v>
      </c>
      <c r="AE4" s="109">
        <f t="shared" si="1"/>
        <v>0</v>
      </c>
      <c r="AF4" s="105">
        <f t="shared" si="1"/>
        <v>0</v>
      </c>
    </row>
    <row r="5" spans="2:32">
      <c r="B5">
        <v>3</v>
      </c>
      <c r="C5" s="106">
        <f t="shared" si="0"/>
        <v>0.33333333333333331</v>
      </c>
      <c r="D5" s="109">
        <f t="shared" si="1"/>
        <v>0.33333333333333331</v>
      </c>
      <c r="E5" s="109">
        <f t="shared" si="1"/>
        <v>0.33333333333333331</v>
      </c>
      <c r="F5" s="109">
        <f t="shared" si="1"/>
        <v>0</v>
      </c>
      <c r="G5" s="109">
        <f t="shared" si="1"/>
        <v>0</v>
      </c>
      <c r="H5" s="109">
        <f t="shared" si="1"/>
        <v>0</v>
      </c>
      <c r="I5" s="109">
        <f t="shared" si="1"/>
        <v>0</v>
      </c>
      <c r="J5" s="109">
        <f t="shared" si="1"/>
        <v>0</v>
      </c>
      <c r="K5" s="109">
        <f t="shared" si="1"/>
        <v>0</v>
      </c>
      <c r="L5" s="109">
        <f t="shared" si="1"/>
        <v>0</v>
      </c>
      <c r="M5" s="109">
        <f t="shared" si="1"/>
        <v>0</v>
      </c>
      <c r="N5" s="109">
        <f t="shared" si="1"/>
        <v>0</v>
      </c>
      <c r="O5" s="109">
        <f t="shared" si="1"/>
        <v>0</v>
      </c>
      <c r="P5" s="109">
        <f t="shared" si="1"/>
        <v>0</v>
      </c>
      <c r="Q5" s="109">
        <f t="shared" si="1"/>
        <v>0</v>
      </c>
      <c r="R5" s="109">
        <f t="shared" si="1"/>
        <v>0</v>
      </c>
      <c r="S5" s="109">
        <f t="shared" si="1"/>
        <v>0</v>
      </c>
      <c r="T5" s="109">
        <f t="shared" si="1"/>
        <v>0</v>
      </c>
      <c r="U5" s="109">
        <f t="shared" si="1"/>
        <v>0</v>
      </c>
      <c r="V5" s="109">
        <f t="shared" si="1"/>
        <v>0</v>
      </c>
      <c r="W5" s="109">
        <f t="shared" si="1"/>
        <v>0</v>
      </c>
      <c r="X5" s="109">
        <f t="shared" si="1"/>
        <v>0</v>
      </c>
      <c r="Y5" s="109">
        <f t="shared" si="1"/>
        <v>0</v>
      </c>
      <c r="Z5" s="109">
        <f t="shared" si="1"/>
        <v>0</v>
      </c>
      <c r="AA5" s="109">
        <f t="shared" si="1"/>
        <v>0</v>
      </c>
      <c r="AB5" s="109">
        <f t="shared" si="1"/>
        <v>0</v>
      </c>
      <c r="AC5" s="109">
        <f t="shared" si="1"/>
        <v>0</v>
      </c>
      <c r="AD5" s="109">
        <f t="shared" si="1"/>
        <v>0</v>
      </c>
      <c r="AE5" s="109">
        <f t="shared" si="1"/>
        <v>0</v>
      </c>
      <c r="AF5" s="105">
        <f t="shared" si="1"/>
        <v>0</v>
      </c>
    </row>
    <row r="6" spans="2:32">
      <c r="B6">
        <v>4</v>
      </c>
      <c r="C6" s="106">
        <f t="shared" si="0"/>
        <v>0.25</v>
      </c>
      <c r="D6" s="109">
        <f t="shared" si="1"/>
        <v>0.25</v>
      </c>
      <c r="E6" s="109">
        <f t="shared" si="1"/>
        <v>0.25</v>
      </c>
      <c r="F6" s="109">
        <f t="shared" si="1"/>
        <v>0.25</v>
      </c>
      <c r="G6" s="109">
        <f t="shared" si="1"/>
        <v>0</v>
      </c>
      <c r="H6" s="109">
        <f t="shared" si="1"/>
        <v>0</v>
      </c>
      <c r="I6" s="109">
        <f t="shared" si="1"/>
        <v>0</v>
      </c>
      <c r="J6" s="109">
        <f t="shared" si="1"/>
        <v>0</v>
      </c>
      <c r="K6" s="109">
        <f t="shared" si="1"/>
        <v>0</v>
      </c>
      <c r="L6" s="109">
        <f t="shared" si="1"/>
        <v>0</v>
      </c>
      <c r="M6" s="109">
        <f t="shared" si="1"/>
        <v>0</v>
      </c>
      <c r="N6" s="109">
        <f t="shared" si="1"/>
        <v>0</v>
      </c>
      <c r="O6" s="109">
        <f t="shared" si="1"/>
        <v>0</v>
      </c>
      <c r="P6" s="109">
        <f t="shared" si="1"/>
        <v>0</v>
      </c>
      <c r="Q6" s="109">
        <f t="shared" si="1"/>
        <v>0</v>
      </c>
      <c r="R6" s="109">
        <f t="shared" si="1"/>
        <v>0</v>
      </c>
      <c r="S6" s="109">
        <f t="shared" si="1"/>
        <v>0</v>
      </c>
      <c r="T6" s="109">
        <f t="shared" si="1"/>
        <v>0</v>
      </c>
      <c r="U6" s="109">
        <f t="shared" si="1"/>
        <v>0</v>
      </c>
      <c r="V6" s="109">
        <f t="shared" si="1"/>
        <v>0</v>
      </c>
      <c r="W6" s="109">
        <f t="shared" si="1"/>
        <v>0</v>
      </c>
      <c r="X6" s="109">
        <f t="shared" si="1"/>
        <v>0</v>
      </c>
      <c r="Y6" s="109">
        <f t="shared" si="1"/>
        <v>0</v>
      </c>
      <c r="Z6" s="109">
        <f t="shared" si="1"/>
        <v>0</v>
      </c>
      <c r="AA6" s="109">
        <f t="shared" si="1"/>
        <v>0</v>
      </c>
      <c r="AB6" s="109">
        <f t="shared" si="1"/>
        <v>0</v>
      </c>
      <c r="AC6" s="109">
        <f t="shared" si="1"/>
        <v>0</v>
      </c>
      <c r="AD6" s="109">
        <f t="shared" si="1"/>
        <v>0</v>
      </c>
      <c r="AE6" s="109">
        <f t="shared" si="1"/>
        <v>0</v>
      </c>
      <c r="AF6" s="105">
        <f t="shared" si="1"/>
        <v>0</v>
      </c>
    </row>
    <row r="7" spans="2:32">
      <c r="B7">
        <v>5</v>
      </c>
      <c r="C7" s="106">
        <f t="shared" si="0"/>
        <v>0.2</v>
      </c>
      <c r="D7" s="109">
        <f t="shared" si="1"/>
        <v>0.2</v>
      </c>
      <c r="E7" s="109">
        <f t="shared" si="1"/>
        <v>0.2</v>
      </c>
      <c r="F7" s="109">
        <f t="shared" si="1"/>
        <v>0.2</v>
      </c>
      <c r="G7" s="109">
        <f t="shared" si="1"/>
        <v>0.2</v>
      </c>
      <c r="H7" s="109">
        <f t="shared" si="1"/>
        <v>0</v>
      </c>
      <c r="I7" s="109">
        <f t="shared" si="1"/>
        <v>0</v>
      </c>
      <c r="J7" s="109">
        <f t="shared" si="1"/>
        <v>0</v>
      </c>
      <c r="K7" s="109">
        <f t="shared" si="1"/>
        <v>0</v>
      </c>
      <c r="L7" s="109">
        <f t="shared" si="1"/>
        <v>0</v>
      </c>
      <c r="M7" s="109">
        <f t="shared" si="1"/>
        <v>0</v>
      </c>
      <c r="N7" s="109">
        <f t="shared" si="1"/>
        <v>0</v>
      </c>
      <c r="O7" s="109">
        <f t="shared" si="1"/>
        <v>0</v>
      </c>
      <c r="P7" s="109">
        <f t="shared" si="1"/>
        <v>0</v>
      </c>
      <c r="Q7" s="109">
        <f t="shared" si="1"/>
        <v>0</v>
      </c>
      <c r="R7" s="109">
        <f t="shared" si="1"/>
        <v>0</v>
      </c>
      <c r="S7" s="109">
        <f t="shared" si="1"/>
        <v>0</v>
      </c>
      <c r="T7" s="109">
        <f t="shared" si="1"/>
        <v>0</v>
      </c>
      <c r="U7" s="109">
        <f t="shared" si="1"/>
        <v>0</v>
      </c>
      <c r="V7" s="109">
        <f t="shared" si="1"/>
        <v>0</v>
      </c>
      <c r="W7" s="109">
        <f t="shared" si="1"/>
        <v>0</v>
      </c>
      <c r="X7" s="109">
        <f t="shared" si="1"/>
        <v>0</v>
      </c>
      <c r="Y7" s="109">
        <f t="shared" si="1"/>
        <v>0</v>
      </c>
      <c r="Z7" s="109">
        <f t="shared" si="1"/>
        <v>0</v>
      </c>
      <c r="AA7" s="109">
        <f t="shared" si="1"/>
        <v>0</v>
      </c>
      <c r="AB7" s="109">
        <f t="shared" si="1"/>
        <v>0</v>
      </c>
      <c r="AC7" s="109">
        <f t="shared" si="1"/>
        <v>0</v>
      </c>
      <c r="AD7" s="109">
        <f t="shared" si="1"/>
        <v>0</v>
      </c>
      <c r="AE7" s="109">
        <f t="shared" si="1"/>
        <v>0</v>
      </c>
      <c r="AF7" s="105">
        <f t="shared" si="1"/>
        <v>0</v>
      </c>
    </row>
    <row r="8" spans="2:32">
      <c r="B8">
        <v>6</v>
      </c>
      <c r="C8" s="106">
        <f t="shared" si="0"/>
        <v>0.16666666666666666</v>
      </c>
      <c r="D8" s="109">
        <f t="shared" si="1"/>
        <v>0.16666666666666666</v>
      </c>
      <c r="E8" s="109">
        <f t="shared" si="1"/>
        <v>0.16666666666666666</v>
      </c>
      <c r="F8" s="109">
        <f t="shared" si="1"/>
        <v>0.16666666666666666</v>
      </c>
      <c r="G8" s="109">
        <f t="shared" si="1"/>
        <v>0.16666666666666666</v>
      </c>
      <c r="H8" s="109">
        <f t="shared" si="1"/>
        <v>0.16666666666666666</v>
      </c>
      <c r="I8" s="109">
        <f t="shared" si="1"/>
        <v>0</v>
      </c>
      <c r="J8" s="109">
        <f t="shared" si="1"/>
        <v>0</v>
      </c>
      <c r="K8" s="109">
        <f t="shared" si="1"/>
        <v>0</v>
      </c>
      <c r="L8" s="109">
        <f t="shared" si="1"/>
        <v>0</v>
      </c>
      <c r="M8" s="109">
        <f t="shared" si="1"/>
        <v>0</v>
      </c>
      <c r="N8" s="109">
        <f t="shared" si="1"/>
        <v>0</v>
      </c>
      <c r="O8" s="109">
        <f t="shared" si="1"/>
        <v>0</v>
      </c>
      <c r="P8" s="109">
        <f t="shared" si="1"/>
        <v>0</v>
      </c>
      <c r="Q8" s="109">
        <f t="shared" si="1"/>
        <v>0</v>
      </c>
      <c r="R8" s="109">
        <f t="shared" si="1"/>
        <v>0</v>
      </c>
      <c r="S8" s="109">
        <f t="shared" si="1"/>
        <v>0</v>
      </c>
      <c r="T8" s="109">
        <f t="shared" si="1"/>
        <v>0</v>
      </c>
      <c r="U8" s="109">
        <f t="shared" si="1"/>
        <v>0</v>
      </c>
      <c r="V8" s="109">
        <f t="shared" si="1"/>
        <v>0</v>
      </c>
      <c r="W8" s="109">
        <f t="shared" si="1"/>
        <v>0</v>
      </c>
      <c r="X8" s="109">
        <f t="shared" si="1"/>
        <v>0</v>
      </c>
      <c r="Y8" s="109">
        <f t="shared" si="1"/>
        <v>0</v>
      </c>
      <c r="Z8" s="109">
        <f t="shared" si="1"/>
        <v>0</v>
      </c>
      <c r="AA8" s="109">
        <f t="shared" si="1"/>
        <v>0</v>
      </c>
      <c r="AB8" s="109">
        <f t="shared" si="1"/>
        <v>0</v>
      </c>
      <c r="AC8" s="109">
        <f t="shared" si="1"/>
        <v>0</v>
      </c>
      <c r="AD8" s="109">
        <f t="shared" si="1"/>
        <v>0</v>
      </c>
      <c r="AE8" s="109">
        <f t="shared" si="1"/>
        <v>0</v>
      </c>
      <c r="AF8" s="105">
        <f t="shared" si="1"/>
        <v>0</v>
      </c>
    </row>
    <row r="9" spans="2:32">
      <c r="B9">
        <v>7</v>
      </c>
      <c r="C9" s="106">
        <f t="shared" si="0"/>
        <v>0.14285714285714285</v>
      </c>
      <c r="D9" s="109">
        <f t="shared" si="1"/>
        <v>0.14285714285714285</v>
      </c>
      <c r="E9" s="109">
        <f t="shared" si="1"/>
        <v>0.14285714285714285</v>
      </c>
      <c r="F9" s="109">
        <f t="shared" si="1"/>
        <v>0.14285714285714285</v>
      </c>
      <c r="G9" s="109">
        <f t="shared" si="1"/>
        <v>0.14285714285714285</v>
      </c>
      <c r="H9" s="109">
        <f t="shared" si="1"/>
        <v>0.14285714285714285</v>
      </c>
      <c r="I9" s="109">
        <f t="shared" si="1"/>
        <v>0.14285714285714285</v>
      </c>
      <c r="J9" s="109">
        <f t="shared" si="1"/>
        <v>0</v>
      </c>
      <c r="K9" s="109">
        <f t="shared" si="1"/>
        <v>0</v>
      </c>
      <c r="L9" s="109">
        <f t="shared" si="1"/>
        <v>0</v>
      </c>
      <c r="M9" s="109">
        <f t="shared" si="1"/>
        <v>0</v>
      </c>
      <c r="N9" s="109">
        <f t="shared" si="1"/>
        <v>0</v>
      </c>
      <c r="O9" s="109">
        <f t="shared" si="1"/>
        <v>0</v>
      </c>
      <c r="P9" s="109">
        <f t="shared" si="1"/>
        <v>0</v>
      </c>
      <c r="Q9" s="109">
        <f t="shared" si="1"/>
        <v>0</v>
      </c>
      <c r="R9" s="109">
        <f t="shared" si="1"/>
        <v>0</v>
      </c>
      <c r="S9" s="109">
        <f t="shared" si="1"/>
        <v>0</v>
      </c>
      <c r="T9" s="109">
        <f t="shared" si="1"/>
        <v>0</v>
      </c>
      <c r="U9" s="109">
        <f t="shared" si="1"/>
        <v>0</v>
      </c>
      <c r="V9" s="109">
        <f t="shared" si="1"/>
        <v>0</v>
      </c>
      <c r="W9" s="109">
        <f t="shared" si="1"/>
        <v>0</v>
      </c>
      <c r="X9" s="109">
        <f t="shared" si="1"/>
        <v>0</v>
      </c>
      <c r="Y9" s="109">
        <f t="shared" si="1"/>
        <v>0</v>
      </c>
      <c r="Z9" s="109">
        <f t="shared" si="1"/>
        <v>0</v>
      </c>
      <c r="AA9" s="109">
        <f t="shared" si="1"/>
        <v>0</v>
      </c>
      <c r="AB9" s="109">
        <f t="shared" si="1"/>
        <v>0</v>
      </c>
      <c r="AC9" s="109">
        <f t="shared" si="1"/>
        <v>0</v>
      </c>
      <c r="AD9" s="109">
        <f t="shared" si="1"/>
        <v>0</v>
      </c>
      <c r="AE9" s="109">
        <f t="shared" si="1"/>
        <v>0</v>
      </c>
      <c r="AF9" s="105">
        <f t="shared" si="1"/>
        <v>0</v>
      </c>
    </row>
    <row r="10" spans="2:32">
      <c r="B10">
        <v>8</v>
      </c>
      <c r="C10" s="106">
        <f t="shared" si="0"/>
        <v>0.125</v>
      </c>
      <c r="D10" s="109">
        <f t="shared" si="1"/>
        <v>0.125</v>
      </c>
      <c r="E10" s="109">
        <f t="shared" si="1"/>
        <v>0.125</v>
      </c>
      <c r="F10" s="109">
        <f t="shared" si="1"/>
        <v>0.125</v>
      </c>
      <c r="G10" s="109">
        <f t="shared" si="1"/>
        <v>0.125</v>
      </c>
      <c r="H10" s="109">
        <f t="shared" si="1"/>
        <v>0.125</v>
      </c>
      <c r="I10" s="109">
        <f t="shared" si="1"/>
        <v>0.125</v>
      </c>
      <c r="J10" s="109">
        <f t="shared" si="1"/>
        <v>0.125</v>
      </c>
      <c r="K10" s="109">
        <f t="shared" si="1"/>
        <v>0</v>
      </c>
      <c r="L10" s="109">
        <f t="shared" si="1"/>
        <v>0</v>
      </c>
      <c r="M10" s="109">
        <f t="shared" si="1"/>
        <v>0</v>
      </c>
      <c r="N10" s="109">
        <f t="shared" si="1"/>
        <v>0</v>
      </c>
      <c r="O10" s="109">
        <f t="shared" si="1"/>
        <v>0</v>
      </c>
      <c r="P10" s="109">
        <f t="shared" si="1"/>
        <v>0</v>
      </c>
      <c r="Q10" s="109">
        <f t="shared" si="1"/>
        <v>0</v>
      </c>
      <c r="R10" s="109">
        <f t="shared" si="1"/>
        <v>0</v>
      </c>
      <c r="S10" s="109">
        <f t="shared" si="1"/>
        <v>0</v>
      </c>
      <c r="T10" s="109">
        <f t="shared" si="1"/>
        <v>0</v>
      </c>
      <c r="U10" s="109">
        <f t="shared" si="1"/>
        <v>0</v>
      </c>
      <c r="V10" s="109">
        <f t="shared" si="1"/>
        <v>0</v>
      </c>
      <c r="W10" s="109">
        <f t="shared" si="1"/>
        <v>0</v>
      </c>
      <c r="X10" s="109">
        <f t="shared" si="1"/>
        <v>0</v>
      </c>
      <c r="Y10" s="109">
        <f t="shared" si="1"/>
        <v>0</v>
      </c>
      <c r="Z10" s="109">
        <f t="shared" si="1"/>
        <v>0</v>
      </c>
      <c r="AA10" s="109">
        <f t="shared" si="1"/>
        <v>0</v>
      </c>
      <c r="AB10" s="109">
        <f t="shared" si="1"/>
        <v>0</v>
      </c>
      <c r="AC10" s="109">
        <f t="shared" si="1"/>
        <v>0</v>
      </c>
      <c r="AD10" s="109">
        <f t="shared" si="1"/>
        <v>0</v>
      </c>
      <c r="AE10" s="109">
        <f t="shared" si="1"/>
        <v>0</v>
      </c>
      <c r="AF10" s="105">
        <f t="shared" si="1"/>
        <v>0</v>
      </c>
    </row>
    <row r="11" spans="2:32">
      <c r="B11">
        <v>9</v>
      </c>
      <c r="C11" s="106">
        <f t="shared" si="0"/>
        <v>0.1111111111111111</v>
      </c>
      <c r="D11" s="109">
        <f t="shared" si="1"/>
        <v>0.1111111111111111</v>
      </c>
      <c r="E11" s="109">
        <f t="shared" si="1"/>
        <v>0.1111111111111111</v>
      </c>
      <c r="F11" s="109">
        <f t="shared" si="1"/>
        <v>0.1111111111111111</v>
      </c>
      <c r="G11" s="109">
        <f t="shared" si="1"/>
        <v>0.1111111111111111</v>
      </c>
      <c r="H11" s="109">
        <f t="shared" si="1"/>
        <v>0.1111111111111111</v>
      </c>
      <c r="I11" s="109">
        <f t="shared" si="1"/>
        <v>0.1111111111111111</v>
      </c>
      <c r="J11" s="109">
        <f t="shared" si="1"/>
        <v>0.1111111111111111</v>
      </c>
      <c r="K11" s="109">
        <f t="shared" si="1"/>
        <v>0.1111111111111111</v>
      </c>
      <c r="L11" s="109">
        <f t="shared" si="1"/>
        <v>0</v>
      </c>
      <c r="M11" s="109">
        <f t="shared" si="1"/>
        <v>0</v>
      </c>
      <c r="N11" s="109">
        <f t="shared" si="1"/>
        <v>0</v>
      </c>
      <c r="O11" s="109">
        <f t="shared" si="1"/>
        <v>0</v>
      </c>
      <c r="P11" s="109">
        <f t="shared" si="1"/>
        <v>0</v>
      </c>
      <c r="Q11" s="109">
        <f t="shared" si="1"/>
        <v>0</v>
      </c>
      <c r="R11" s="109">
        <f t="shared" si="1"/>
        <v>0</v>
      </c>
      <c r="S11" s="109">
        <f t="shared" si="1"/>
        <v>0</v>
      </c>
      <c r="T11" s="109">
        <f t="shared" si="1"/>
        <v>0</v>
      </c>
      <c r="U11" s="109">
        <f t="shared" si="1"/>
        <v>0</v>
      </c>
      <c r="V11" s="109">
        <f t="shared" si="1"/>
        <v>0</v>
      </c>
      <c r="W11" s="109">
        <f t="shared" si="1"/>
        <v>0</v>
      </c>
      <c r="X11" s="109">
        <f t="shared" si="1"/>
        <v>0</v>
      </c>
      <c r="Y11" s="109">
        <f t="shared" si="1"/>
        <v>0</v>
      </c>
      <c r="Z11" s="109">
        <f t="shared" si="1"/>
        <v>0</v>
      </c>
      <c r="AA11" s="109">
        <f t="shared" ref="D11:AF21" si="2">IF(AA$2&gt;$B11,0,100%/$B11)</f>
        <v>0</v>
      </c>
      <c r="AB11" s="109">
        <f t="shared" si="2"/>
        <v>0</v>
      </c>
      <c r="AC11" s="109">
        <f t="shared" si="2"/>
        <v>0</v>
      </c>
      <c r="AD11" s="109">
        <f t="shared" si="2"/>
        <v>0</v>
      </c>
      <c r="AE11" s="109">
        <f t="shared" si="2"/>
        <v>0</v>
      </c>
      <c r="AF11" s="105">
        <f t="shared" si="2"/>
        <v>0</v>
      </c>
    </row>
    <row r="12" spans="2:32">
      <c r="B12">
        <v>10</v>
      </c>
      <c r="C12" s="106">
        <f t="shared" si="0"/>
        <v>0.1</v>
      </c>
      <c r="D12" s="109">
        <f t="shared" si="2"/>
        <v>0.1</v>
      </c>
      <c r="E12" s="109">
        <f t="shared" si="2"/>
        <v>0.1</v>
      </c>
      <c r="F12" s="109">
        <f t="shared" si="2"/>
        <v>0.1</v>
      </c>
      <c r="G12" s="109">
        <f t="shared" si="2"/>
        <v>0.1</v>
      </c>
      <c r="H12" s="109">
        <f t="shared" si="2"/>
        <v>0.1</v>
      </c>
      <c r="I12" s="109">
        <f t="shared" si="2"/>
        <v>0.1</v>
      </c>
      <c r="J12" s="109">
        <f t="shared" si="2"/>
        <v>0.1</v>
      </c>
      <c r="K12" s="109">
        <f t="shared" si="2"/>
        <v>0.1</v>
      </c>
      <c r="L12" s="109">
        <f t="shared" si="2"/>
        <v>0.1</v>
      </c>
      <c r="M12" s="109">
        <f t="shared" si="2"/>
        <v>0</v>
      </c>
      <c r="N12" s="109">
        <f t="shared" si="2"/>
        <v>0</v>
      </c>
      <c r="O12" s="109">
        <f t="shared" si="2"/>
        <v>0</v>
      </c>
      <c r="P12" s="109">
        <f t="shared" si="2"/>
        <v>0</v>
      </c>
      <c r="Q12" s="109">
        <f t="shared" si="2"/>
        <v>0</v>
      </c>
      <c r="R12" s="109">
        <f t="shared" si="2"/>
        <v>0</v>
      </c>
      <c r="S12" s="109">
        <f t="shared" si="2"/>
        <v>0</v>
      </c>
      <c r="T12" s="109">
        <f t="shared" si="2"/>
        <v>0</v>
      </c>
      <c r="U12" s="109">
        <f t="shared" si="2"/>
        <v>0</v>
      </c>
      <c r="V12" s="109">
        <f t="shared" si="2"/>
        <v>0</v>
      </c>
      <c r="W12" s="109">
        <f t="shared" si="2"/>
        <v>0</v>
      </c>
      <c r="X12" s="109">
        <f t="shared" si="2"/>
        <v>0</v>
      </c>
      <c r="Y12" s="109">
        <f t="shared" si="2"/>
        <v>0</v>
      </c>
      <c r="Z12" s="109">
        <f t="shared" si="2"/>
        <v>0</v>
      </c>
      <c r="AA12" s="109">
        <f t="shared" si="2"/>
        <v>0</v>
      </c>
      <c r="AB12" s="109">
        <f t="shared" si="2"/>
        <v>0</v>
      </c>
      <c r="AC12" s="109">
        <f t="shared" si="2"/>
        <v>0</v>
      </c>
      <c r="AD12" s="109">
        <f t="shared" si="2"/>
        <v>0</v>
      </c>
      <c r="AE12" s="109">
        <f t="shared" si="2"/>
        <v>0</v>
      </c>
      <c r="AF12" s="105">
        <f t="shared" si="2"/>
        <v>0</v>
      </c>
    </row>
    <row r="13" spans="2:32">
      <c r="B13" s="88">
        <v>11</v>
      </c>
      <c r="C13" s="106">
        <f t="shared" si="0"/>
        <v>9.0909090909090912E-2</v>
      </c>
      <c r="D13" s="109">
        <f t="shared" si="2"/>
        <v>9.0909090909090912E-2</v>
      </c>
      <c r="E13" s="109">
        <f t="shared" si="2"/>
        <v>9.0909090909090912E-2</v>
      </c>
      <c r="F13" s="109">
        <f t="shared" si="2"/>
        <v>9.0909090909090912E-2</v>
      </c>
      <c r="G13" s="109">
        <f t="shared" si="2"/>
        <v>9.0909090909090912E-2</v>
      </c>
      <c r="H13" s="109">
        <f t="shared" si="2"/>
        <v>9.0909090909090912E-2</v>
      </c>
      <c r="I13" s="109">
        <f t="shared" si="2"/>
        <v>9.0909090909090912E-2</v>
      </c>
      <c r="J13" s="109">
        <f t="shared" si="2"/>
        <v>9.0909090909090912E-2</v>
      </c>
      <c r="K13" s="109">
        <f t="shared" si="2"/>
        <v>9.0909090909090912E-2</v>
      </c>
      <c r="L13" s="109">
        <f t="shared" si="2"/>
        <v>9.0909090909090912E-2</v>
      </c>
      <c r="M13" s="109">
        <f t="shared" si="2"/>
        <v>9.0909090909090912E-2</v>
      </c>
      <c r="N13" s="109">
        <f t="shared" si="2"/>
        <v>0</v>
      </c>
      <c r="O13" s="109">
        <f t="shared" si="2"/>
        <v>0</v>
      </c>
      <c r="P13" s="109">
        <f t="shared" si="2"/>
        <v>0</v>
      </c>
      <c r="Q13" s="109">
        <f t="shared" si="2"/>
        <v>0</v>
      </c>
      <c r="R13" s="109">
        <f t="shared" si="2"/>
        <v>0</v>
      </c>
      <c r="S13" s="109">
        <f t="shared" si="2"/>
        <v>0</v>
      </c>
      <c r="T13" s="109">
        <f t="shared" si="2"/>
        <v>0</v>
      </c>
      <c r="U13" s="109">
        <f t="shared" si="2"/>
        <v>0</v>
      </c>
      <c r="V13" s="109">
        <f t="shared" si="2"/>
        <v>0</v>
      </c>
      <c r="W13" s="109">
        <f t="shared" si="2"/>
        <v>0</v>
      </c>
      <c r="X13" s="109">
        <f t="shared" si="2"/>
        <v>0</v>
      </c>
      <c r="Y13" s="109">
        <f t="shared" si="2"/>
        <v>0</v>
      </c>
      <c r="Z13" s="109">
        <f t="shared" si="2"/>
        <v>0</v>
      </c>
      <c r="AA13" s="109">
        <f t="shared" si="2"/>
        <v>0</v>
      </c>
      <c r="AB13" s="109">
        <f t="shared" si="2"/>
        <v>0</v>
      </c>
      <c r="AC13" s="109">
        <f t="shared" si="2"/>
        <v>0</v>
      </c>
      <c r="AD13" s="109">
        <f t="shared" si="2"/>
        <v>0</v>
      </c>
      <c r="AE13" s="109">
        <f t="shared" si="2"/>
        <v>0</v>
      </c>
      <c r="AF13" s="105">
        <f t="shared" si="2"/>
        <v>0</v>
      </c>
    </row>
    <row r="14" spans="2:32" s="88" customFormat="1">
      <c r="B14" s="88">
        <v>12</v>
      </c>
      <c r="C14" s="106">
        <f t="shared" si="0"/>
        <v>8.3333333333333329E-2</v>
      </c>
      <c r="D14" s="109">
        <f t="shared" si="2"/>
        <v>8.3333333333333329E-2</v>
      </c>
      <c r="E14" s="109">
        <f t="shared" si="2"/>
        <v>8.3333333333333329E-2</v>
      </c>
      <c r="F14" s="109">
        <f t="shared" si="2"/>
        <v>8.3333333333333329E-2</v>
      </c>
      <c r="G14" s="109">
        <f t="shared" si="2"/>
        <v>8.3333333333333329E-2</v>
      </c>
      <c r="H14" s="109">
        <f t="shared" si="2"/>
        <v>8.3333333333333329E-2</v>
      </c>
      <c r="I14" s="109">
        <f t="shared" si="2"/>
        <v>8.3333333333333329E-2</v>
      </c>
      <c r="J14" s="109">
        <f t="shared" si="2"/>
        <v>8.3333333333333329E-2</v>
      </c>
      <c r="K14" s="109">
        <f t="shared" si="2"/>
        <v>8.3333333333333329E-2</v>
      </c>
      <c r="L14" s="109">
        <f t="shared" si="2"/>
        <v>8.3333333333333329E-2</v>
      </c>
      <c r="M14" s="109">
        <f t="shared" si="2"/>
        <v>8.3333333333333329E-2</v>
      </c>
      <c r="N14" s="109">
        <f t="shared" si="2"/>
        <v>8.3333333333333329E-2</v>
      </c>
      <c r="O14" s="109">
        <f t="shared" si="2"/>
        <v>0</v>
      </c>
      <c r="P14" s="109">
        <f t="shared" si="2"/>
        <v>0</v>
      </c>
      <c r="Q14" s="109">
        <f t="shared" si="2"/>
        <v>0</v>
      </c>
      <c r="R14" s="109">
        <f t="shared" si="2"/>
        <v>0</v>
      </c>
      <c r="S14" s="109">
        <f t="shared" si="2"/>
        <v>0</v>
      </c>
      <c r="T14" s="109">
        <f t="shared" si="2"/>
        <v>0</v>
      </c>
      <c r="U14" s="109">
        <f t="shared" si="2"/>
        <v>0</v>
      </c>
      <c r="V14" s="109">
        <f t="shared" si="2"/>
        <v>0</v>
      </c>
      <c r="W14" s="109">
        <f t="shared" si="2"/>
        <v>0</v>
      </c>
      <c r="X14" s="109">
        <f t="shared" si="2"/>
        <v>0</v>
      </c>
      <c r="Y14" s="109">
        <f t="shared" si="2"/>
        <v>0</v>
      </c>
      <c r="Z14" s="109">
        <f t="shared" si="2"/>
        <v>0</v>
      </c>
      <c r="AA14" s="109">
        <f t="shared" si="2"/>
        <v>0</v>
      </c>
      <c r="AB14" s="109">
        <f t="shared" si="2"/>
        <v>0</v>
      </c>
      <c r="AC14" s="109">
        <f t="shared" si="2"/>
        <v>0</v>
      </c>
      <c r="AD14" s="109">
        <f t="shared" si="2"/>
        <v>0</v>
      </c>
      <c r="AE14" s="109">
        <f t="shared" si="2"/>
        <v>0</v>
      </c>
      <c r="AF14" s="105">
        <f t="shared" si="2"/>
        <v>0</v>
      </c>
    </row>
    <row r="15" spans="2:32" s="88" customFormat="1">
      <c r="B15" s="88">
        <v>13</v>
      </c>
      <c r="C15" s="106">
        <f t="shared" si="0"/>
        <v>7.6923076923076927E-2</v>
      </c>
      <c r="D15" s="109">
        <f t="shared" si="2"/>
        <v>7.6923076923076927E-2</v>
      </c>
      <c r="E15" s="109">
        <f t="shared" si="2"/>
        <v>7.6923076923076927E-2</v>
      </c>
      <c r="F15" s="109">
        <f t="shared" si="2"/>
        <v>7.6923076923076927E-2</v>
      </c>
      <c r="G15" s="109">
        <f t="shared" si="2"/>
        <v>7.6923076923076927E-2</v>
      </c>
      <c r="H15" s="109">
        <f t="shared" si="2"/>
        <v>7.6923076923076927E-2</v>
      </c>
      <c r="I15" s="109">
        <f t="shared" si="2"/>
        <v>7.6923076923076927E-2</v>
      </c>
      <c r="J15" s="109">
        <f t="shared" si="2"/>
        <v>7.6923076923076927E-2</v>
      </c>
      <c r="K15" s="109">
        <f t="shared" si="2"/>
        <v>7.6923076923076927E-2</v>
      </c>
      <c r="L15" s="109">
        <f t="shared" si="2"/>
        <v>7.6923076923076927E-2</v>
      </c>
      <c r="M15" s="109">
        <f t="shared" si="2"/>
        <v>7.6923076923076927E-2</v>
      </c>
      <c r="N15" s="109">
        <f t="shared" si="2"/>
        <v>7.6923076923076927E-2</v>
      </c>
      <c r="O15" s="109">
        <f t="shared" si="2"/>
        <v>7.6923076923076927E-2</v>
      </c>
      <c r="P15" s="109">
        <f t="shared" si="2"/>
        <v>0</v>
      </c>
      <c r="Q15" s="109">
        <f t="shared" si="2"/>
        <v>0</v>
      </c>
      <c r="R15" s="109">
        <f t="shared" si="2"/>
        <v>0</v>
      </c>
      <c r="S15" s="109">
        <f t="shared" si="2"/>
        <v>0</v>
      </c>
      <c r="T15" s="109">
        <f t="shared" si="2"/>
        <v>0</v>
      </c>
      <c r="U15" s="109">
        <f t="shared" si="2"/>
        <v>0</v>
      </c>
      <c r="V15" s="109">
        <f t="shared" si="2"/>
        <v>0</v>
      </c>
      <c r="W15" s="109">
        <f t="shared" si="2"/>
        <v>0</v>
      </c>
      <c r="X15" s="109">
        <f t="shared" si="2"/>
        <v>0</v>
      </c>
      <c r="Y15" s="109">
        <f t="shared" si="2"/>
        <v>0</v>
      </c>
      <c r="Z15" s="109">
        <f t="shared" si="2"/>
        <v>0</v>
      </c>
      <c r="AA15" s="109">
        <f t="shared" si="2"/>
        <v>0</v>
      </c>
      <c r="AB15" s="109">
        <f t="shared" si="2"/>
        <v>0</v>
      </c>
      <c r="AC15" s="109">
        <f t="shared" si="2"/>
        <v>0</v>
      </c>
      <c r="AD15" s="109">
        <f t="shared" si="2"/>
        <v>0</v>
      </c>
      <c r="AE15" s="109">
        <f t="shared" si="2"/>
        <v>0</v>
      </c>
      <c r="AF15" s="105">
        <f t="shared" si="2"/>
        <v>0</v>
      </c>
    </row>
    <row r="16" spans="2:32" s="88" customFormat="1">
      <c r="B16" s="88">
        <v>14</v>
      </c>
      <c r="C16" s="106">
        <f t="shared" si="0"/>
        <v>7.1428571428571425E-2</v>
      </c>
      <c r="D16" s="109">
        <f t="shared" si="2"/>
        <v>7.1428571428571425E-2</v>
      </c>
      <c r="E16" s="109">
        <f t="shared" si="2"/>
        <v>7.1428571428571425E-2</v>
      </c>
      <c r="F16" s="109">
        <f t="shared" si="2"/>
        <v>7.1428571428571425E-2</v>
      </c>
      <c r="G16" s="109">
        <f t="shared" si="2"/>
        <v>7.1428571428571425E-2</v>
      </c>
      <c r="H16" s="109">
        <f t="shared" si="2"/>
        <v>7.1428571428571425E-2</v>
      </c>
      <c r="I16" s="109">
        <f t="shared" si="2"/>
        <v>7.1428571428571425E-2</v>
      </c>
      <c r="J16" s="109">
        <f t="shared" si="2"/>
        <v>7.1428571428571425E-2</v>
      </c>
      <c r="K16" s="109">
        <f t="shared" si="2"/>
        <v>7.1428571428571425E-2</v>
      </c>
      <c r="L16" s="109">
        <f t="shared" si="2"/>
        <v>7.1428571428571425E-2</v>
      </c>
      <c r="M16" s="109">
        <f t="shared" si="2"/>
        <v>7.1428571428571425E-2</v>
      </c>
      <c r="N16" s="109">
        <f t="shared" si="2"/>
        <v>7.1428571428571425E-2</v>
      </c>
      <c r="O16" s="109">
        <f t="shared" si="2"/>
        <v>7.1428571428571425E-2</v>
      </c>
      <c r="P16" s="109">
        <f t="shared" si="2"/>
        <v>7.1428571428571425E-2</v>
      </c>
      <c r="Q16" s="109">
        <f t="shared" si="2"/>
        <v>0</v>
      </c>
      <c r="R16" s="109">
        <f t="shared" si="2"/>
        <v>0</v>
      </c>
      <c r="S16" s="109">
        <f t="shared" si="2"/>
        <v>0</v>
      </c>
      <c r="T16" s="109">
        <f t="shared" si="2"/>
        <v>0</v>
      </c>
      <c r="U16" s="109">
        <f t="shared" si="2"/>
        <v>0</v>
      </c>
      <c r="V16" s="109">
        <f t="shared" si="2"/>
        <v>0</v>
      </c>
      <c r="W16" s="109">
        <f t="shared" si="2"/>
        <v>0</v>
      </c>
      <c r="X16" s="109">
        <f t="shared" si="2"/>
        <v>0</v>
      </c>
      <c r="Y16" s="109">
        <f t="shared" si="2"/>
        <v>0</v>
      </c>
      <c r="Z16" s="109">
        <f t="shared" si="2"/>
        <v>0</v>
      </c>
      <c r="AA16" s="109">
        <f t="shared" si="2"/>
        <v>0</v>
      </c>
      <c r="AB16" s="109">
        <f t="shared" si="2"/>
        <v>0</v>
      </c>
      <c r="AC16" s="109">
        <f t="shared" si="2"/>
        <v>0</v>
      </c>
      <c r="AD16" s="109">
        <f t="shared" si="2"/>
        <v>0</v>
      </c>
      <c r="AE16" s="109">
        <f t="shared" si="2"/>
        <v>0</v>
      </c>
      <c r="AF16" s="105">
        <f t="shared" si="2"/>
        <v>0</v>
      </c>
    </row>
    <row r="17" spans="2:32" s="88" customFormat="1">
      <c r="B17" s="88">
        <v>15</v>
      </c>
      <c r="C17" s="106">
        <f t="shared" si="0"/>
        <v>6.6666666666666666E-2</v>
      </c>
      <c r="D17" s="109">
        <f t="shared" si="2"/>
        <v>6.6666666666666666E-2</v>
      </c>
      <c r="E17" s="109">
        <f t="shared" si="2"/>
        <v>6.6666666666666666E-2</v>
      </c>
      <c r="F17" s="109">
        <f t="shared" si="2"/>
        <v>6.6666666666666666E-2</v>
      </c>
      <c r="G17" s="109">
        <f t="shared" si="2"/>
        <v>6.6666666666666666E-2</v>
      </c>
      <c r="H17" s="109">
        <f t="shared" si="2"/>
        <v>6.6666666666666666E-2</v>
      </c>
      <c r="I17" s="109">
        <f t="shared" si="2"/>
        <v>6.6666666666666666E-2</v>
      </c>
      <c r="J17" s="109">
        <f t="shared" si="2"/>
        <v>6.6666666666666666E-2</v>
      </c>
      <c r="K17" s="109">
        <f t="shared" si="2"/>
        <v>6.6666666666666666E-2</v>
      </c>
      <c r="L17" s="109">
        <f t="shared" si="2"/>
        <v>6.6666666666666666E-2</v>
      </c>
      <c r="M17" s="109">
        <f t="shared" si="2"/>
        <v>6.6666666666666666E-2</v>
      </c>
      <c r="N17" s="109">
        <f t="shared" si="2"/>
        <v>6.6666666666666666E-2</v>
      </c>
      <c r="O17" s="109">
        <f t="shared" si="2"/>
        <v>6.6666666666666666E-2</v>
      </c>
      <c r="P17" s="109">
        <f t="shared" si="2"/>
        <v>6.6666666666666666E-2</v>
      </c>
      <c r="Q17" s="109">
        <f t="shared" si="2"/>
        <v>6.6666666666666666E-2</v>
      </c>
      <c r="R17" s="109">
        <f t="shared" si="2"/>
        <v>0</v>
      </c>
      <c r="S17" s="109">
        <f t="shared" si="2"/>
        <v>0</v>
      </c>
      <c r="T17" s="109">
        <f t="shared" si="2"/>
        <v>0</v>
      </c>
      <c r="U17" s="109">
        <f t="shared" si="2"/>
        <v>0</v>
      </c>
      <c r="V17" s="109">
        <f t="shared" si="2"/>
        <v>0</v>
      </c>
      <c r="W17" s="109">
        <f t="shared" si="2"/>
        <v>0</v>
      </c>
      <c r="X17" s="109">
        <f t="shared" si="2"/>
        <v>0</v>
      </c>
      <c r="Y17" s="109">
        <f t="shared" si="2"/>
        <v>0</v>
      </c>
      <c r="Z17" s="109">
        <f t="shared" si="2"/>
        <v>0</v>
      </c>
      <c r="AA17" s="109">
        <f t="shared" si="2"/>
        <v>0</v>
      </c>
      <c r="AB17" s="109">
        <f t="shared" si="2"/>
        <v>0</v>
      </c>
      <c r="AC17" s="109">
        <f t="shared" si="2"/>
        <v>0</v>
      </c>
      <c r="AD17" s="109">
        <f t="shared" si="2"/>
        <v>0</v>
      </c>
      <c r="AE17" s="109">
        <f t="shared" si="2"/>
        <v>0</v>
      </c>
      <c r="AF17" s="105">
        <f t="shared" si="2"/>
        <v>0</v>
      </c>
    </row>
    <row r="18" spans="2:32" s="88" customFormat="1">
      <c r="B18" s="88">
        <v>16</v>
      </c>
      <c r="C18" s="106">
        <f t="shared" si="0"/>
        <v>6.25E-2</v>
      </c>
      <c r="D18" s="109">
        <f t="shared" si="2"/>
        <v>6.25E-2</v>
      </c>
      <c r="E18" s="109">
        <f t="shared" si="2"/>
        <v>6.25E-2</v>
      </c>
      <c r="F18" s="109">
        <f t="shared" si="2"/>
        <v>6.25E-2</v>
      </c>
      <c r="G18" s="109">
        <f t="shared" si="2"/>
        <v>6.25E-2</v>
      </c>
      <c r="H18" s="109">
        <f t="shared" si="2"/>
        <v>6.25E-2</v>
      </c>
      <c r="I18" s="109">
        <f t="shared" si="2"/>
        <v>6.25E-2</v>
      </c>
      <c r="J18" s="109">
        <f t="shared" si="2"/>
        <v>6.25E-2</v>
      </c>
      <c r="K18" s="109">
        <f t="shared" si="2"/>
        <v>6.25E-2</v>
      </c>
      <c r="L18" s="109">
        <f t="shared" si="2"/>
        <v>6.25E-2</v>
      </c>
      <c r="M18" s="109">
        <f t="shared" si="2"/>
        <v>6.25E-2</v>
      </c>
      <c r="N18" s="109">
        <f t="shared" si="2"/>
        <v>6.25E-2</v>
      </c>
      <c r="O18" s="109">
        <f t="shared" si="2"/>
        <v>6.25E-2</v>
      </c>
      <c r="P18" s="109">
        <f t="shared" si="2"/>
        <v>6.25E-2</v>
      </c>
      <c r="Q18" s="109">
        <f t="shared" si="2"/>
        <v>6.25E-2</v>
      </c>
      <c r="R18" s="109">
        <f t="shared" si="2"/>
        <v>6.25E-2</v>
      </c>
      <c r="S18" s="109">
        <f t="shared" si="2"/>
        <v>0</v>
      </c>
      <c r="T18" s="109">
        <f t="shared" si="2"/>
        <v>0</v>
      </c>
      <c r="U18" s="109">
        <f t="shared" si="2"/>
        <v>0</v>
      </c>
      <c r="V18" s="109">
        <f t="shared" si="2"/>
        <v>0</v>
      </c>
      <c r="W18" s="109">
        <f t="shared" si="2"/>
        <v>0</v>
      </c>
      <c r="X18" s="109">
        <f t="shared" si="2"/>
        <v>0</v>
      </c>
      <c r="Y18" s="109">
        <f t="shared" si="2"/>
        <v>0</v>
      </c>
      <c r="Z18" s="109">
        <f t="shared" si="2"/>
        <v>0</v>
      </c>
      <c r="AA18" s="109">
        <f t="shared" si="2"/>
        <v>0</v>
      </c>
      <c r="AB18" s="109">
        <f t="shared" si="2"/>
        <v>0</v>
      </c>
      <c r="AC18" s="109">
        <f t="shared" si="2"/>
        <v>0</v>
      </c>
      <c r="AD18" s="109">
        <f t="shared" si="2"/>
        <v>0</v>
      </c>
      <c r="AE18" s="109">
        <f t="shared" si="2"/>
        <v>0</v>
      </c>
      <c r="AF18" s="105">
        <f t="shared" si="2"/>
        <v>0</v>
      </c>
    </row>
    <row r="19" spans="2:32" s="88" customFormat="1">
      <c r="B19" s="88">
        <v>17</v>
      </c>
      <c r="C19" s="106">
        <f t="shared" ref="C19:R19" si="3">IF(C$2&gt;$B19,0,100%/$B19)</f>
        <v>5.8823529411764705E-2</v>
      </c>
      <c r="D19" s="109">
        <f t="shared" si="3"/>
        <v>5.8823529411764705E-2</v>
      </c>
      <c r="E19" s="109">
        <f t="shared" si="3"/>
        <v>5.8823529411764705E-2</v>
      </c>
      <c r="F19" s="109">
        <f t="shared" si="3"/>
        <v>5.8823529411764705E-2</v>
      </c>
      <c r="G19" s="109">
        <f t="shared" si="3"/>
        <v>5.8823529411764705E-2</v>
      </c>
      <c r="H19" s="109">
        <f t="shared" si="3"/>
        <v>5.8823529411764705E-2</v>
      </c>
      <c r="I19" s="109">
        <f t="shared" si="3"/>
        <v>5.8823529411764705E-2</v>
      </c>
      <c r="J19" s="109">
        <f t="shared" si="3"/>
        <v>5.8823529411764705E-2</v>
      </c>
      <c r="K19" s="109">
        <f t="shared" si="3"/>
        <v>5.8823529411764705E-2</v>
      </c>
      <c r="L19" s="109">
        <f t="shared" si="3"/>
        <v>5.8823529411764705E-2</v>
      </c>
      <c r="M19" s="109">
        <f t="shared" si="3"/>
        <v>5.8823529411764705E-2</v>
      </c>
      <c r="N19" s="109">
        <f t="shared" si="3"/>
        <v>5.8823529411764705E-2</v>
      </c>
      <c r="O19" s="109">
        <f t="shared" si="3"/>
        <v>5.8823529411764705E-2</v>
      </c>
      <c r="P19" s="109">
        <f t="shared" si="3"/>
        <v>5.8823529411764705E-2</v>
      </c>
      <c r="Q19" s="109">
        <f t="shared" si="3"/>
        <v>5.8823529411764705E-2</v>
      </c>
      <c r="R19" s="109">
        <f t="shared" si="3"/>
        <v>5.8823529411764705E-2</v>
      </c>
      <c r="S19" s="109">
        <f t="shared" si="2"/>
        <v>5.8823529411764705E-2</v>
      </c>
      <c r="T19" s="109">
        <f t="shared" si="2"/>
        <v>0</v>
      </c>
      <c r="U19" s="109">
        <f t="shared" si="2"/>
        <v>0</v>
      </c>
      <c r="V19" s="109">
        <f t="shared" si="2"/>
        <v>0</v>
      </c>
      <c r="W19" s="109">
        <f t="shared" si="2"/>
        <v>0</v>
      </c>
      <c r="X19" s="109">
        <f t="shared" si="2"/>
        <v>0</v>
      </c>
      <c r="Y19" s="109">
        <f t="shared" si="2"/>
        <v>0</v>
      </c>
      <c r="Z19" s="109">
        <f t="shared" si="2"/>
        <v>0</v>
      </c>
      <c r="AA19" s="109">
        <f t="shared" si="2"/>
        <v>0</v>
      </c>
      <c r="AB19" s="109">
        <f t="shared" si="2"/>
        <v>0</v>
      </c>
      <c r="AC19" s="109">
        <f t="shared" si="2"/>
        <v>0</v>
      </c>
      <c r="AD19" s="109">
        <f t="shared" si="2"/>
        <v>0</v>
      </c>
      <c r="AE19" s="109">
        <f t="shared" si="2"/>
        <v>0</v>
      </c>
      <c r="AF19" s="105">
        <f t="shared" si="2"/>
        <v>0</v>
      </c>
    </row>
    <row r="20" spans="2:32" s="88" customFormat="1">
      <c r="B20" s="88">
        <v>18</v>
      </c>
      <c r="C20" s="106">
        <f t="shared" ref="C20:C32" si="4">IF(C$2&gt;$B20,0,100%/$B20)</f>
        <v>5.5555555555555552E-2</v>
      </c>
      <c r="D20" s="109">
        <f t="shared" si="2"/>
        <v>5.5555555555555552E-2</v>
      </c>
      <c r="E20" s="109">
        <f t="shared" si="2"/>
        <v>5.5555555555555552E-2</v>
      </c>
      <c r="F20" s="109">
        <f t="shared" si="2"/>
        <v>5.5555555555555552E-2</v>
      </c>
      <c r="G20" s="109">
        <f t="shared" si="2"/>
        <v>5.5555555555555552E-2</v>
      </c>
      <c r="H20" s="109">
        <f t="shared" si="2"/>
        <v>5.5555555555555552E-2</v>
      </c>
      <c r="I20" s="109">
        <f t="shared" si="2"/>
        <v>5.5555555555555552E-2</v>
      </c>
      <c r="J20" s="109">
        <f t="shared" si="2"/>
        <v>5.5555555555555552E-2</v>
      </c>
      <c r="K20" s="109">
        <f t="shared" si="2"/>
        <v>5.5555555555555552E-2</v>
      </c>
      <c r="L20" s="109">
        <f t="shared" si="2"/>
        <v>5.5555555555555552E-2</v>
      </c>
      <c r="M20" s="109">
        <f t="shared" si="2"/>
        <v>5.5555555555555552E-2</v>
      </c>
      <c r="N20" s="109">
        <f t="shared" si="2"/>
        <v>5.5555555555555552E-2</v>
      </c>
      <c r="O20" s="109">
        <f t="shared" si="2"/>
        <v>5.5555555555555552E-2</v>
      </c>
      <c r="P20" s="109">
        <f t="shared" si="2"/>
        <v>5.5555555555555552E-2</v>
      </c>
      <c r="Q20" s="109">
        <f t="shared" si="2"/>
        <v>5.5555555555555552E-2</v>
      </c>
      <c r="R20" s="109">
        <f t="shared" si="2"/>
        <v>5.5555555555555552E-2</v>
      </c>
      <c r="S20" s="109">
        <f t="shared" si="2"/>
        <v>5.5555555555555552E-2</v>
      </c>
      <c r="T20" s="109">
        <f t="shared" si="2"/>
        <v>5.5555555555555552E-2</v>
      </c>
      <c r="U20" s="109">
        <f t="shared" si="2"/>
        <v>0</v>
      </c>
      <c r="V20" s="109">
        <f t="shared" si="2"/>
        <v>0</v>
      </c>
      <c r="W20" s="109">
        <f t="shared" si="2"/>
        <v>0</v>
      </c>
      <c r="X20" s="109">
        <f t="shared" si="2"/>
        <v>0</v>
      </c>
      <c r="Y20" s="109">
        <f t="shared" si="2"/>
        <v>0</v>
      </c>
      <c r="Z20" s="109">
        <f t="shared" si="2"/>
        <v>0</v>
      </c>
      <c r="AA20" s="109">
        <f t="shared" si="2"/>
        <v>0</v>
      </c>
      <c r="AB20" s="109">
        <f t="shared" si="2"/>
        <v>0</v>
      </c>
      <c r="AC20" s="109">
        <f t="shared" si="2"/>
        <v>0</v>
      </c>
      <c r="AD20" s="109">
        <f t="shared" si="2"/>
        <v>0</v>
      </c>
      <c r="AE20" s="109">
        <f t="shared" si="2"/>
        <v>0</v>
      </c>
      <c r="AF20" s="105">
        <f t="shared" si="2"/>
        <v>0</v>
      </c>
    </row>
    <row r="21" spans="2:32" s="88" customFormat="1">
      <c r="B21" s="88">
        <v>19</v>
      </c>
      <c r="C21" s="106">
        <f t="shared" si="4"/>
        <v>5.2631578947368418E-2</v>
      </c>
      <c r="D21" s="109">
        <f t="shared" si="2"/>
        <v>5.2631578947368418E-2</v>
      </c>
      <c r="E21" s="109">
        <f t="shared" si="2"/>
        <v>5.2631578947368418E-2</v>
      </c>
      <c r="F21" s="109">
        <f t="shared" si="2"/>
        <v>5.2631578947368418E-2</v>
      </c>
      <c r="G21" s="109">
        <f t="shared" ref="D21:AF29" si="5">IF(G$2&gt;$B21,0,100%/$B21)</f>
        <v>5.2631578947368418E-2</v>
      </c>
      <c r="H21" s="109">
        <f t="shared" si="5"/>
        <v>5.2631578947368418E-2</v>
      </c>
      <c r="I21" s="109">
        <f t="shared" si="5"/>
        <v>5.2631578947368418E-2</v>
      </c>
      <c r="J21" s="109">
        <f t="shared" si="5"/>
        <v>5.2631578947368418E-2</v>
      </c>
      <c r="K21" s="109">
        <f t="shared" si="5"/>
        <v>5.2631578947368418E-2</v>
      </c>
      <c r="L21" s="109">
        <f t="shared" si="5"/>
        <v>5.2631578947368418E-2</v>
      </c>
      <c r="M21" s="109">
        <f t="shared" si="5"/>
        <v>5.2631578947368418E-2</v>
      </c>
      <c r="N21" s="109">
        <f t="shared" si="5"/>
        <v>5.2631578947368418E-2</v>
      </c>
      <c r="O21" s="109">
        <f t="shared" si="5"/>
        <v>5.2631578947368418E-2</v>
      </c>
      <c r="P21" s="109">
        <f t="shared" si="5"/>
        <v>5.2631578947368418E-2</v>
      </c>
      <c r="Q21" s="109">
        <f t="shared" si="5"/>
        <v>5.2631578947368418E-2</v>
      </c>
      <c r="R21" s="109">
        <f t="shared" si="5"/>
        <v>5.2631578947368418E-2</v>
      </c>
      <c r="S21" s="109">
        <f t="shared" si="5"/>
        <v>5.2631578947368418E-2</v>
      </c>
      <c r="T21" s="109">
        <f t="shared" si="5"/>
        <v>5.2631578947368418E-2</v>
      </c>
      <c r="U21" s="109">
        <f t="shared" si="5"/>
        <v>5.2631578947368418E-2</v>
      </c>
      <c r="V21" s="109">
        <f t="shared" si="5"/>
        <v>0</v>
      </c>
      <c r="W21" s="109">
        <f t="shared" si="5"/>
        <v>0</v>
      </c>
      <c r="X21" s="109">
        <f t="shared" si="5"/>
        <v>0</v>
      </c>
      <c r="Y21" s="109">
        <f t="shared" si="5"/>
        <v>0</v>
      </c>
      <c r="Z21" s="109">
        <f t="shared" si="5"/>
        <v>0</v>
      </c>
      <c r="AA21" s="109">
        <f t="shared" si="5"/>
        <v>0</v>
      </c>
      <c r="AB21" s="109">
        <f t="shared" si="5"/>
        <v>0</v>
      </c>
      <c r="AC21" s="109">
        <f t="shared" si="5"/>
        <v>0</v>
      </c>
      <c r="AD21" s="109">
        <f t="shared" si="5"/>
        <v>0</v>
      </c>
      <c r="AE21" s="109">
        <f t="shared" si="5"/>
        <v>0</v>
      </c>
      <c r="AF21" s="105">
        <f t="shared" si="5"/>
        <v>0</v>
      </c>
    </row>
    <row r="22" spans="2:32" s="88" customFormat="1">
      <c r="B22" s="88">
        <v>20</v>
      </c>
      <c r="C22" s="106">
        <f t="shared" si="4"/>
        <v>0.05</v>
      </c>
      <c r="D22" s="109">
        <f t="shared" si="5"/>
        <v>0.05</v>
      </c>
      <c r="E22" s="109">
        <f t="shared" si="5"/>
        <v>0.05</v>
      </c>
      <c r="F22" s="109">
        <f t="shared" si="5"/>
        <v>0.05</v>
      </c>
      <c r="G22" s="109">
        <f t="shared" si="5"/>
        <v>0.05</v>
      </c>
      <c r="H22" s="109">
        <f t="shared" si="5"/>
        <v>0.05</v>
      </c>
      <c r="I22" s="109">
        <f t="shared" si="5"/>
        <v>0.05</v>
      </c>
      <c r="J22" s="109">
        <f t="shared" si="5"/>
        <v>0.05</v>
      </c>
      <c r="K22" s="109">
        <f t="shared" si="5"/>
        <v>0.05</v>
      </c>
      <c r="L22" s="109">
        <f t="shared" si="5"/>
        <v>0.05</v>
      </c>
      <c r="M22" s="109">
        <f t="shared" si="5"/>
        <v>0.05</v>
      </c>
      <c r="N22" s="109">
        <f t="shared" si="5"/>
        <v>0.05</v>
      </c>
      <c r="O22" s="109">
        <f t="shared" si="5"/>
        <v>0.05</v>
      </c>
      <c r="P22" s="109">
        <f t="shared" si="5"/>
        <v>0.05</v>
      </c>
      <c r="Q22" s="109">
        <f t="shared" si="5"/>
        <v>0.05</v>
      </c>
      <c r="R22" s="109">
        <f t="shared" si="5"/>
        <v>0.05</v>
      </c>
      <c r="S22" s="109">
        <f t="shared" si="5"/>
        <v>0.05</v>
      </c>
      <c r="T22" s="109">
        <f t="shared" si="5"/>
        <v>0.05</v>
      </c>
      <c r="U22" s="109">
        <f t="shared" si="5"/>
        <v>0.05</v>
      </c>
      <c r="V22" s="109">
        <f t="shared" si="5"/>
        <v>0.05</v>
      </c>
      <c r="W22" s="109">
        <f t="shared" si="5"/>
        <v>0</v>
      </c>
      <c r="X22" s="109">
        <f t="shared" si="5"/>
        <v>0</v>
      </c>
      <c r="Y22" s="109">
        <f t="shared" si="5"/>
        <v>0</v>
      </c>
      <c r="Z22" s="109">
        <f t="shared" si="5"/>
        <v>0</v>
      </c>
      <c r="AA22" s="109">
        <f t="shared" si="5"/>
        <v>0</v>
      </c>
      <c r="AB22" s="109">
        <f t="shared" si="5"/>
        <v>0</v>
      </c>
      <c r="AC22" s="109">
        <f t="shared" si="5"/>
        <v>0</v>
      </c>
      <c r="AD22" s="109">
        <f t="shared" si="5"/>
        <v>0</v>
      </c>
      <c r="AE22" s="109">
        <f t="shared" si="5"/>
        <v>0</v>
      </c>
      <c r="AF22" s="105">
        <f t="shared" si="5"/>
        <v>0</v>
      </c>
    </row>
    <row r="23" spans="2:32" s="88" customFormat="1">
      <c r="B23" s="88">
        <v>21</v>
      </c>
      <c r="C23" s="106">
        <f t="shared" si="4"/>
        <v>4.7619047619047616E-2</v>
      </c>
      <c r="D23" s="109">
        <f t="shared" si="5"/>
        <v>4.7619047619047616E-2</v>
      </c>
      <c r="E23" s="109">
        <f t="shared" si="5"/>
        <v>4.7619047619047616E-2</v>
      </c>
      <c r="F23" s="109">
        <f t="shared" si="5"/>
        <v>4.7619047619047616E-2</v>
      </c>
      <c r="G23" s="109">
        <f t="shared" si="5"/>
        <v>4.7619047619047616E-2</v>
      </c>
      <c r="H23" s="109">
        <f t="shared" si="5"/>
        <v>4.7619047619047616E-2</v>
      </c>
      <c r="I23" s="109">
        <f t="shared" si="5"/>
        <v>4.7619047619047616E-2</v>
      </c>
      <c r="J23" s="109">
        <f t="shared" si="5"/>
        <v>4.7619047619047616E-2</v>
      </c>
      <c r="K23" s="109">
        <f t="shared" si="5"/>
        <v>4.7619047619047616E-2</v>
      </c>
      <c r="L23" s="109">
        <f t="shared" si="5"/>
        <v>4.7619047619047616E-2</v>
      </c>
      <c r="M23" s="109">
        <f t="shared" si="5"/>
        <v>4.7619047619047616E-2</v>
      </c>
      <c r="N23" s="109">
        <f t="shared" si="5"/>
        <v>4.7619047619047616E-2</v>
      </c>
      <c r="O23" s="109">
        <f t="shared" si="5"/>
        <v>4.7619047619047616E-2</v>
      </c>
      <c r="P23" s="109">
        <f t="shared" si="5"/>
        <v>4.7619047619047616E-2</v>
      </c>
      <c r="Q23" s="109">
        <f t="shared" si="5"/>
        <v>4.7619047619047616E-2</v>
      </c>
      <c r="R23" s="109">
        <f t="shared" si="5"/>
        <v>4.7619047619047616E-2</v>
      </c>
      <c r="S23" s="109">
        <f t="shared" si="5"/>
        <v>4.7619047619047616E-2</v>
      </c>
      <c r="T23" s="109">
        <f t="shared" si="5"/>
        <v>4.7619047619047616E-2</v>
      </c>
      <c r="U23" s="109">
        <f t="shared" si="5"/>
        <v>4.7619047619047616E-2</v>
      </c>
      <c r="V23" s="109">
        <f t="shared" si="5"/>
        <v>4.7619047619047616E-2</v>
      </c>
      <c r="W23" s="109">
        <f t="shared" si="5"/>
        <v>4.7619047619047616E-2</v>
      </c>
      <c r="X23" s="109">
        <f t="shared" si="5"/>
        <v>0</v>
      </c>
      <c r="Y23" s="109">
        <f t="shared" si="5"/>
        <v>0</v>
      </c>
      <c r="Z23" s="109">
        <f t="shared" si="5"/>
        <v>0</v>
      </c>
      <c r="AA23" s="109">
        <f t="shared" si="5"/>
        <v>0</v>
      </c>
      <c r="AB23" s="109">
        <f t="shared" si="5"/>
        <v>0</v>
      </c>
      <c r="AC23" s="109">
        <f t="shared" si="5"/>
        <v>0</v>
      </c>
      <c r="AD23" s="109">
        <f t="shared" si="5"/>
        <v>0</v>
      </c>
      <c r="AE23" s="109">
        <f t="shared" si="5"/>
        <v>0</v>
      </c>
      <c r="AF23" s="105">
        <f t="shared" si="5"/>
        <v>0</v>
      </c>
    </row>
    <row r="24" spans="2:32" s="88" customFormat="1">
      <c r="B24" s="88">
        <v>22</v>
      </c>
      <c r="C24" s="106">
        <f t="shared" si="4"/>
        <v>4.5454545454545456E-2</v>
      </c>
      <c r="D24" s="109">
        <f t="shared" si="5"/>
        <v>4.5454545454545456E-2</v>
      </c>
      <c r="E24" s="109">
        <f t="shared" si="5"/>
        <v>4.5454545454545456E-2</v>
      </c>
      <c r="F24" s="109">
        <f t="shared" si="5"/>
        <v>4.5454545454545456E-2</v>
      </c>
      <c r="G24" s="109">
        <f t="shared" si="5"/>
        <v>4.5454545454545456E-2</v>
      </c>
      <c r="H24" s="109">
        <f t="shared" si="5"/>
        <v>4.5454545454545456E-2</v>
      </c>
      <c r="I24" s="109">
        <f t="shared" si="5"/>
        <v>4.5454545454545456E-2</v>
      </c>
      <c r="J24" s="109">
        <f t="shared" si="5"/>
        <v>4.5454545454545456E-2</v>
      </c>
      <c r="K24" s="109">
        <f t="shared" si="5"/>
        <v>4.5454545454545456E-2</v>
      </c>
      <c r="L24" s="109">
        <f t="shared" si="5"/>
        <v>4.5454545454545456E-2</v>
      </c>
      <c r="M24" s="109">
        <f t="shared" si="5"/>
        <v>4.5454545454545456E-2</v>
      </c>
      <c r="N24" s="109">
        <f t="shared" si="5"/>
        <v>4.5454545454545456E-2</v>
      </c>
      <c r="O24" s="109">
        <f t="shared" si="5"/>
        <v>4.5454545454545456E-2</v>
      </c>
      <c r="P24" s="109">
        <f t="shared" si="5"/>
        <v>4.5454545454545456E-2</v>
      </c>
      <c r="Q24" s="109">
        <f t="shared" si="5"/>
        <v>4.5454545454545456E-2</v>
      </c>
      <c r="R24" s="109">
        <f t="shared" si="5"/>
        <v>4.5454545454545456E-2</v>
      </c>
      <c r="S24" s="109">
        <f t="shared" si="5"/>
        <v>4.5454545454545456E-2</v>
      </c>
      <c r="T24" s="109">
        <f t="shared" si="5"/>
        <v>4.5454545454545456E-2</v>
      </c>
      <c r="U24" s="109">
        <f t="shared" si="5"/>
        <v>4.5454545454545456E-2</v>
      </c>
      <c r="V24" s="109">
        <f t="shared" si="5"/>
        <v>4.5454545454545456E-2</v>
      </c>
      <c r="W24" s="109">
        <f t="shared" si="5"/>
        <v>4.5454545454545456E-2</v>
      </c>
      <c r="X24" s="109">
        <f t="shared" si="5"/>
        <v>4.5454545454545456E-2</v>
      </c>
      <c r="Y24" s="109">
        <f t="shared" si="5"/>
        <v>0</v>
      </c>
      <c r="Z24" s="109">
        <f t="shared" si="5"/>
        <v>0</v>
      </c>
      <c r="AA24" s="109">
        <f t="shared" si="5"/>
        <v>0</v>
      </c>
      <c r="AB24" s="109">
        <f t="shared" si="5"/>
        <v>0</v>
      </c>
      <c r="AC24" s="109">
        <f t="shared" si="5"/>
        <v>0</v>
      </c>
      <c r="AD24" s="109">
        <f t="shared" si="5"/>
        <v>0</v>
      </c>
      <c r="AE24" s="109">
        <f t="shared" si="5"/>
        <v>0</v>
      </c>
      <c r="AF24" s="105">
        <f t="shared" si="5"/>
        <v>0</v>
      </c>
    </row>
    <row r="25" spans="2:32" s="88" customFormat="1">
      <c r="B25" s="88">
        <v>23</v>
      </c>
      <c r="C25" s="106">
        <f t="shared" si="4"/>
        <v>4.3478260869565216E-2</v>
      </c>
      <c r="D25" s="109">
        <f t="shared" si="5"/>
        <v>4.3478260869565216E-2</v>
      </c>
      <c r="E25" s="109">
        <f t="shared" si="5"/>
        <v>4.3478260869565216E-2</v>
      </c>
      <c r="F25" s="109">
        <f t="shared" si="5"/>
        <v>4.3478260869565216E-2</v>
      </c>
      <c r="G25" s="109">
        <f t="shared" si="5"/>
        <v>4.3478260869565216E-2</v>
      </c>
      <c r="H25" s="109">
        <f t="shared" si="5"/>
        <v>4.3478260869565216E-2</v>
      </c>
      <c r="I25" s="109">
        <f t="shared" si="5"/>
        <v>4.3478260869565216E-2</v>
      </c>
      <c r="J25" s="109">
        <f t="shared" si="5"/>
        <v>4.3478260869565216E-2</v>
      </c>
      <c r="K25" s="109">
        <f t="shared" si="5"/>
        <v>4.3478260869565216E-2</v>
      </c>
      <c r="L25" s="109">
        <f t="shared" si="5"/>
        <v>4.3478260869565216E-2</v>
      </c>
      <c r="M25" s="109">
        <f t="shared" si="5"/>
        <v>4.3478260869565216E-2</v>
      </c>
      <c r="N25" s="109">
        <f t="shared" si="5"/>
        <v>4.3478260869565216E-2</v>
      </c>
      <c r="O25" s="109">
        <f t="shared" si="5"/>
        <v>4.3478260869565216E-2</v>
      </c>
      <c r="P25" s="109">
        <f t="shared" si="5"/>
        <v>4.3478260869565216E-2</v>
      </c>
      <c r="Q25" s="109">
        <f t="shared" si="5"/>
        <v>4.3478260869565216E-2</v>
      </c>
      <c r="R25" s="109">
        <f t="shared" si="5"/>
        <v>4.3478260869565216E-2</v>
      </c>
      <c r="S25" s="109">
        <f t="shared" si="5"/>
        <v>4.3478260869565216E-2</v>
      </c>
      <c r="T25" s="109">
        <f t="shared" si="5"/>
        <v>4.3478260869565216E-2</v>
      </c>
      <c r="U25" s="109">
        <f t="shared" si="5"/>
        <v>4.3478260869565216E-2</v>
      </c>
      <c r="V25" s="109">
        <f t="shared" si="5"/>
        <v>4.3478260869565216E-2</v>
      </c>
      <c r="W25" s="109">
        <f t="shared" si="5"/>
        <v>4.3478260869565216E-2</v>
      </c>
      <c r="X25" s="109">
        <f t="shared" si="5"/>
        <v>4.3478260869565216E-2</v>
      </c>
      <c r="Y25" s="109">
        <f t="shared" si="5"/>
        <v>4.3478260869565216E-2</v>
      </c>
      <c r="Z25" s="109">
        <f t="shared" si="5"/>
        <v>0</v>
      </c>
      <c r="AA25" s="109">
        <f t="shared" si="5"/>
        <v>0</v>
      </c>
      <c r="AB25" s="109">
        <f t="shared" si="5"/>
        <v>0</v>
      </c>
      <c r="AC25" s="109">
        <f t="shared" si="5"/>
        <v>0</v>
      </c>
      <c r="AD25" s="109">
        <f t="shared" si="5"/>
        <v>0</v>
      </c>
      <c r="AE25" s="109">
        <f t="shared" si="5"/>
        <v>0</v>
      </c>
      <c r="AF25" s="105">
        <f t="shared" si="5"/>
        <v>0</v>
      </c>
    </row>
    <row r="26" spans="2:32" s="88" customFormat="1">
      <c r="B26" s="88">
        <v>24</v>
      </c>
      <c r="C26" s="106">
        <f t="shared" si="4"/>
        <v>4.1666666666666664E-2</v>
      </c>
      <c r="D26" s="109">
        <f t="shared" si="5"/>
        <v>4.1666666666666664E-2</v>
      </c>
      <c r="E26" s="109">
        <f t="shared" si="5"/>
        <v>4.1666666666666664E-2</v>
      </c>
      <c r="F26" s="109">
        <f t="shared" si="5"/>
        <v>4.1666666666666664E-2</v>
      </c>
      <c r="G26" s="109">
        <f t="shared" si="5"/>
        <v>4.1666666666666664E-2</v>
      </c>
      <c r="H26" s="109">
        <f t="shared" si="5"/>
        <v>4.1666666666666664E-2</v>
      </c>
      <c r="I26" s="109">
        <f t="shared" si="5"/>
        <v>4.1666666666666664E-2</v>
      </c>
      <c r="J26" s="109">
        <f t="shared" si="5"/>
        <v>4.1666666666666664E-2</v>
      </c>
      <c r="K26" s="109">
        <f t="shared" si="5"/>
        <v>4.1666666666666664E-2</v>
      </c>
      <c r="L26" s="109">
        <f t="shared" si="5"/>
        <v>4.1666666666666664E-2</v>
      </c>
      <c r="M26" s="109">
        <f t="shared" si="5"/>
        <v>4.1666666666666664E-2</v>
      </c>
      <c r="N26" s="109">
        <f t="shared" si="5"/>
        <v>4.1666666666666664E-2</v>
      </c>
      <c r="O26" s="109">
        <f t="shared" si="5"/>
        <v>4.1666666666666664E-2</v>
      </c>
      <c r="P26" s="109">
        <f t="shared" si="5"/>
        <v>4.1666666666666664E-2</v>
      </c>
      <c r="Q26" s="109">
        <f t="shared" si="5"/>
        <v>4.1666666666666664E-2</v>
      </c>
      <c r="R26" s="109">
        <f t="shared" si="5"/>
        <v>4.1666666666666664E-2</v>
      </c>
      <c r="S26" s="109">
        <f t="shared" si="5"/>
        <v>4.1666666666666664E-2</v>
      </c>
      <c r="T26" s="109">
        <f t="shared" si="5"/>
        <v>4.1666666666666664E-2</v>
      </c>
      <c r="U26" s="109">
        <f t="shared" si="5"/>
        <v>4.1666666666666664E-2</v>
      </c>
      <c r="V26" s="109">
        <f t="shared" si="5"/>
        <v>4.1666666666666664E-2</v>
      </c>
      <c r="W26" s="109">
        <f t="shared" si="5"/>
        <v>4.1666666666666664E-2</v>
      </c>
      <c r="X26" s="109">
        <f t="shared" si="5"/>
        <v>4.1666666666666664E-2</v>
      </c>
      <c r="Y26" s="109">
        <f t="shared" si="5"/>
        <v>4.1666666666666664E-2</v>
      </c>
      <c r="Z26" s="109">
        <f t="shared" si="5"/>
        <v>4.1666666666666664E-2</v>
      </c>
      <c r="AA26" s="109">
        <f t="shared" si="5"/>
        <v>0</v>
      </c>
      <c r="AB26" s="109">
        <f t="shared" si="5"/>
        <v>0</v>
      </c>
      <c r="AC26" s="109">
        <f t="shared" si="5"/>
        <v>0</v>
      </c>
      <c r="AD26" s="109">
        <f t="shared" si="5"/>
        <v>0</v>
      </c>
      <c r="AE26" s="109">
        <f t="shared" si="5"/>
        <v>0</v>
      </c>
      <c r="AF26" s="105">
        <f t="shared" si="5"/>
        <v>0</v>
      </c>
    </row>
    <row r="27" spans="2:32" s="88" customFormat="1">
      <c r="B27" s="88">
        <v>25</v>
      </c>
      <c r="C27" s="106">
        <f t="shared" si="4"/>
        <v>0.04</v>
      </c>
      <c r="D27" s="109">
        <f t="shared" si="5"/>
        <v>0.04</v>
      </c>
      <c r="E27" s="109">
        <f t="shared" si="5"/>
        <v>0.04</v>
      </c>
      <c r="F27" s="109">
        <f t="shared" si="5"/>
        <v>0.04</v>
      </c>
      <c r="G27" s="109">
        <f t="shared" si="5"/>
        <v>0.04</v>
      </c>
      <c r="H27" s="109">
        <f t="shared" si="5"/>
        <v>0.04</v>
      </c>
      <c r="I27" s="109">
        <f t="shared" si="5"/>
        <v>0.04</v>
      </c>
      <c r="J27" s="109">
        <f t="shared" si="5"/>
        <v>0.04</v>
      </c>
      <c r="K27" s="109">
        <f t="shared" si="5"/>
        <v>0.04</v>
      </c>
      <c r="L27" s="109">
        <f t="shared" si="5"/>
        <v>0.04</v>
      </c>
      <c r="M27" s="109">
        <f t="shared" si="5"/>
        <v>0.04</v>
      </c>
      <c r="N27" s="109">
        <f t="shared" si="5"/>
        <v>0.04</v>
      </c>
      <c r="O27" s="109">
        <f t="shared" si="5"/>
        <v>0.04</v>
      </c>
      <c r="P27" s="109">
        <f t="shared" si="5"/>
        <v>0.04</v>
      </c>
      <c r="Q27" s="109">
        <f t="shared" si="5"/>
        <v>0.04</v>
      </c>
      <c r="R27" s="109">
        <f t="shared" si="5"/>
        <v>0.04</v>
      </c>
      <c r="S27" s="109">
        <f t="shared" si="5"/>
        <v>0.04</v>
      </c>
      <c r="T27" s="109">
        <f t="shared" si="5"/>
        <v>0.04</v>
      </c>
      <c r="U27" s="109">
        <f t="shared" si="5"/>
        <v>0.04</v>
      </c>
      <c r="V27" s="109">
        <f t="shared" si="5"/>
        <v>0.04</v>
      </c>
      <c r="W27" s="109">
        <f t="shared" si="5"/>
        <v>0.04</v>
      </c>
      <c r="X27" s="109">
        <f t="shared" si="5"/>
        <v>0.04</v>
      </c>
      <c r="Y27" s="109">
        <f t="shared" si="5"/>
        <v>0.04</v>
      </c>
      <c r="Z27" s="109">
        <f t="shared" si="5"/>
        <v>0.04</v>
      </c>
      <c r="AA27" s="109">
        <f t="shared" si="5"/>
        <v>0.04</v>
      </c>
      <c r="AB27" s="109">
        <f t="shared" si="5"/>
        <v>0</v>
      </c>
      <c r="AC27" s="109">
        <f t="shared" si="5"/>
        <v>0</v>
      </c>
      <c r="AD27" s="109">
        <f t="shared" si="5"/>
        <v>0</v>
      </c>
      <c r="AE27" s="109">
        <f t="shared" si="5"/>
        <v>0</v>
      </c>
      <c r="AF27" s="105">
        <f t="shared" si="5"/>
        <v>0</v>
      </c>
    </row>
    <row r="28" spans="2:32" s="88" customFormat="1">
      <c r="B28" s="88">
        <v>26</v>
      </c>
      <c r="C28" s="106">
        <f t="shared" si="4"/>
        <v>3.8461538461538464E-2</v>
      </c>
      <c r="D28" s="109">
        <f t="shared" si="5"/>
        <v>3.8461538461538464E-2</v>
      </c>
      <c r="E28" s="109">
        <f t="shared" si="5"/>
        <v>3.8461538461538464E-2</v>
      </c>
      <c r="F28" s="109">
        <f t="shared" si="5"/>
        <v>3.8461538461538464E-2</v>
      </c>
      <c r="G28" s="109">
        <f t="shared" si="5"/>
        <v>3.8461538461538464E-2</v>
      </c>
      <c r="H28" s="109">
        <f t="shared" si="5"/>
        <v>3.8461538461538464E-2</v>
      </c>
      <c r="I28" s="109">
        <f t="shared" si="5"/>
        <v>3.8461538461538464E-2</v>
      </c>
      <c r="J28" s="109">
        <f t="shared" si="5"/>
        <v>3.8461538461538464E-2</v>
      </c>
      <c r="K28" s="109">
        <f t="shared" si="5"/>
        <v>3.8461538461538464E-2</v>
      </c>
      <c r="L28" s="109">
        <f t="shared" si="5"/>
        <v>3.8461538461538464E-2</v>
      </c>
      <c r="M28" s="109">
        <f t="shared" si="5"/>
        <v>3.8461538461538464E-2</v>
      </c>
      <c r="N28" s="109">
        <f t="shared" si="5"/>
        <v>3.8461538461538464E-2</v>
      </c>
      <c r="O28" s="109">
        <f t="shared" si="5"/>
        <v>3.8461538461538464E-2</v>
      </c>
      <c r="P28" s="109">
        <f t="shared" si="5"/>
        <v>3.8461538461538464E-2</v>
      </c>
      <c r="Q28" s="109">
        <f t="shared" si="5"/>
        <v>3.8461538461538464E-2</v>
      </c>
      <c r="R28" s="109">
        <f t="shared" si="5"/>
        <v>3.8461538461538464E-2</v>
      </c>
      <c r="S28" s="109">
        <f t="shared" si="5"/>
        <v>3.8461538461538464E-2</v>
      </c>
      <c r="T28" s="109">
        <f t="shared" si="5"/>
        <v>3.8461538461538464E-2</v>
      </c>
      <c r="U28" s="109">
        <f t="shared" si="5"/>
        <v>3.8461538461538464E-2</v>
      </c>
      <c r="V28" s="109">
        <f t="shared" si="5"/>
        <v>3.8461538461538464E-2</v>
      </c>
      <c r="W28" s="109">
        <f t="shared" si="5"/>
        <v>3.8461538461538464E-2</v>
      </c>
      <c r="X28" s="109">
        <f t="shared" si="5"/>
        <v>3.8461538461538464E-2</v>
      </c>
      <c r="Y28" s="109">
        <f t="shared" si="5"/>
        <v>3.8461538461538464E-2</v>
      </c>
      <c r="Z28" s="109">
        <f t="shared" si="5"/>
        <v>3.8461538461538464E-2</v>
      </c>
      <c r="AA28" s="109">
        <f t="shared" si="5"/>
        <v>3.8461538461538464E-2</v>
      </c>
      <c r="AB28" s="109">
        <f t="shared" si="5"/>
        <v>3.8461538461538464E-2</v>
      </c>
      <c r="AC28" s="109">
        <f t="shared" si="5"/>
        <v>0</v>
      </c>
      <c r="AD28" s="109">
        <f t="shared" si="5"/>
        <v>0</v>
      </c>
      <c r="AE28" s="109">
        <f t="shared" si="5"/>
        <v>0</v>
      </c>
      <c r="AF28" s="105">
        <f t="shared" si="5"/>
        <v>0</v>
      </c>
    </row>
    <row r="29" spans="2:32" s="88" customFormat="1">
      <c r="B29" s="88">
        <v>27</v>
      </c>
      <c r="C29" s="106">
        <f t="shared" si="4"/>
        <v>3.7037037037037035E-2</v>
      </c>
      <c r="D29" s="109">
        <f t="shared" si="5"/>
        <v>3.7037037037037035E-2</v>
      </c>
      <c r="E29" s="109">
        <f t="shared" si="5"/>
        <v>3.7037037037037035E-2</v>
      </c>
      <c r="F29" s="109">
        <f t="shared" si="5"/>
        <v>3.7037037037037035E-2</v>
      </c>
      <c r="G29" s="109">
        <f t="shared" si="5"/>
        <v>3.7037037037037035E-2</v>
      </c>
      <c r="H29" s="109">
        <f t="shared" si="5"/>
        <v>3.7037037037037035E-2</v>
      </c>
      <c r="I29" s="109">
        <f t="shared" si="5"/>
        <v>3.7037037037037035E-2</v>
      </c>
      <c r="J29" s="109">
        <f t="shared" si="5"/>
        <v>3.7037037037037035E-2</v>
      </c>
      <c r="K29" s="109">
        <f t="shared" si="5"/>
        <v>3.7037037037037035E-2</v>
      </c>
      <c r="L29" s="109">
        <f t="shared" si="5"/>
        <v>3.7037037037037035E-2</v>
      </c>
      <c r="M29" s="109">
        <f t="shared" si="5"/>
        <v>3.7037037037037035E-2</v>
      </c>
      <c r="N29" s="109">
        <f t="shared" si="5"/>
        <v>3.7037037037037035E-2</v>
      </c>
      <c r="O29" s="109">
        <f t="shared" si="5"/>
        <v>3.7037037037037035E-2</v>
      </c>
      <c r="P29" s="109">
        <f t="shared" si="5"/>
        <v>3.7037037037037035E-2</v>
      </c>
      <c r="Q29" s="109">
        <f t="shared" si="5"/>
        <v>3.7037037037037035E-2</v>
      </c>
      <c r="R29" s="109">
        <f t="shared" si="5"/>
        <v>3.7037037037037035E-2</v>
      </c>
      <c r="S29" s="109">
        <f t="shared" si="5"/>
        <v>3.7037037037037035E-2</v>
      </c>
      <c r="T29" s="109">
        <f t="shared" si="5"/>
        <v>3.7037037037037035E-2</v>
      </c>
      <c r="U29" s="109">
        <f t="shared" si="5"/>
        <v>3.7037037037037035E-2</v>
      </c>
      <c r="V29" s="109">
        <f t="shared" si="5"/>
        <v>3.7037037037037035E-2</v>
      </c>
      <c r="W29" s="109">
        <f t="shared" si="5"/>
        <v>3.7037037037037035E-2</v>
      </c>
      <c r="X29" s="109">
        <f t="shared" si="5"/>
        <v>3.7037037037037035E-2</v>
      </c>
      <c r="Y29" s="109">
        <f t="shared" si="5"/>
        <v>3.7037037037037035E-2</v>
      </c>
      <c r="Z29" s="109">
        <f t="shared" si="5"/>
        <v>3.7037037037037035E-2</v>
      </c>
      <c r="AA29" s="109">
        <f t="shared" si="5"/>
        <v>3.7037037037037035E-2</v>
      </c>
      <c r="AB29" s="109">
        <f t="shared" si="5"/>
        <v>3.7037037037037035E-2</v>
      </c>
      <c r="AC29" s="109">
        <f t="shared" si="5"/>
        <v>3.7037037037037035E-2</v>
      </c>
      <c r="AD29" s="109">
        <f t="shared" ref="D29:AF32" si="6">IF(AD$2&gt;$B29,0,100%/$B29)</f>
        <v>0</v>
      </c>
      <c r="AE29" s="109">
        <f t="shared" si="6"/>
        <v>0</v>
      </c>
      <c r="AF29" s="105">
        <f t="shared" si="6"/>
        <v>0</v>
      </c>
    </row>
    <row r="30" spans="2:32" s="88" customFormat="1">
      <c r="B30" s="88">
        <v>28</v>
      </c>
      <c r="C30" s="106">
        <f t="shared" si="4"/>
        <v>3.5714285714285712E-2</v>
      </c>
      <c r="D30" s="109">
        <f t="shared" si="6"/>
        <v>3.5714285714285712E-2</v>
      </c>
      <c r="E30" s="109">
        <f t="shared" si="6"/>
        <v>3.5714285714285712E-2</v>
      </c>
      <c r="F30" s="109">
        <f t="shared" si="6"/>
        <v>3.5714285714285712E-2</v>
      </c>
      <c r="G30" s="109">
        <f t="shared" si="6"/>
        <v>3.5714285714285712E-2</v>
      </c>
      <c r="H30" s="109">
        <f t="shared" si="6"/>
        <v>3.5714285714285712E-2</v>
      </c>
      <c r="I30" s="109">
        <f t="shared" si="6"/>
        <v>3.5714285714285712E-2</v>
      </c>
      <c r="J30" s="109">
        <f t="shared" si="6"/>
        <v>3.5714285714285712E-2</v>
      </c>
      <c r="K30" s="109">
        <f t="shared" si="6"/>
        <v>3.5714285714285712E-2</v>
      </c>
      <c r="L30" s="109">
        <f t="shared" si="6"/>
        <v>3.5714285714285712E-2</v>
      </c>
      <c r="M30" s="109">
        <f t="shared" si="6"/>
        <v>3.5714285714285712E-2</v>
      </c>
      <c r="N30" s="109">
        <f t="shared" si="6"/>
        <v>3.5714285714285712E-2</v>
      </c>
      <c r="O30" s="109">
        <f t="shared" si="6"/>
        <v>3.5714285714285712E-2</v>
      </c>
      <c r="P30" s="109">
        <f t="shared" si="6"/>
        <v>3.5714285714285712E-2</v>
      </c>
      <c r="Q30" s="109">
        <f t="shared" si="6"/>
        <v>3.5714285714285712E-2</v>
      </c>
      <c r="R30" s="109">
        <f t="shared" si="6"/>
        <v>3.5714285714285712E-2</v>
      </c>
      <c r="S30" s="109">
        <f t="shared" si="6"/>
        <v>3.5714285714285712E-2</v>
      </c>
      <c r="T30" s="109">
        <f t="shared" si="6"/>
        <v>3.5714285714285712E-2</v>
      </c>
      <c r="U30" s="109">
        <f t="shared" si="6"/>
        <v>3.5714285714285712E-2</v>
      </c>
      <c r="V30" s="109">
        <f t="shared" si="6"/>
        <v>3.5714285714285712E-2</v>
      </c>
      <c r="W30" s="109">
        <f t="shared" si="6"/>
        <v>3.5714285714285712E-2</v>
      </c>
      <c r="X30" s="109">
        <f t="shared" si="6"/>
        <v>3.5714285714285712E-2</v>
      </c>
      <c r="Y30" s="109">
        <f t="shared" si="6"/>
        <v>3.5714285714285712E-2</v>
      </c>
      <c r="Z30" s="109">
        <f t="shared" si="6"/>
        <v>3.5714285714285712E-2</v>
      </c>
      <c r="AA30" s="109">
        <f t="shared" si="6"/>
        <v>3.5714285714285712E-2</v>
      </c>
      <c r="AB30" s="109">
        <f t="shared" si="6"/>
        <v>3.5714285714285712E-2</v>
      </c>
      <c r="AC30" s="109">
        <f t="shared" si="6"/>
        <v>3.5714285714285712E-2</v>
      </c>
      <c r="AD30" s="109">
        <f t="shared" si="6"/>
        <v>3.5714285714285712E-2</v>
      </c>
      <c r="AE30" s="109">
        <f t="shared" si="6"/>
        <v>0</v>
      </c>
      <c r="AF30" s="105">
        <f t="shared" si="6"/>
        <v>0</v>
      </c>
    </row>
    <row r="31" spans="2:32" s="88" customFormat="1">
      <c r="B31" s="88">
        <v>29</v>
      </c>
      <c r="C31" s="106">
        <f t="shared" si="4"/>
        <v>3.4482758620689655E-2</v>
      </c>
      <c r="D31" s="109">
        <f t="shared" si="6"/>
        <v>3.4482758620689655E-2</v>
      </c>
      <c r="E31" s="109">
        <f t="shared" si="6"/>
        <v>3.4482758620689655E-2</v>
      </c>
      <c r="F31" s="109">
        <f t="shared" si="6"/>
        <v>3.4482758620689655E-2</v>
      </c>
      <c r="G31" s="109">
        <f t="shared" si="6"/>
        <v>3.4482758620689655E-2</v>
      </c>
      <c r="H31" s="109">
        <f t="shared" si="6"/>
        <v>3.4482758620689655E-2</v>
      </c>
      <c r="I31" s="109">
        <f t="shared" si="6"/>
        <v>3.4482758620689655E-2</v>
      </c>
      <c r="J31" s="109">
        <f t="shared" si="6"/>
        <v>3.4482758620689655E-2</v>
      </c>
      <c r="K31" s="109">
        <f t="shared" si="6"/>
        <v>3.4482758620689655E-2</v>
      </c>
      <c r="L31" s="109">
        <f t="shared" si="6"/>
        <v>3.4482758620689655E-2</v>
      </c>
      <c r="M31" s="109">
        <f t="shared" si="6"/>
        <v>3.4482758620689655E-2</v>
      </c>
      <c r="N31" s="109">
        <f t="shared" si="6"/>
        <v>3.4482758620689655E-2</v>
      </c>
      <c r="O31" s="109">
        <f t="shared" si="6"/>
        <v>3.4482758620689655E-2</v>
      </c>
      <c r="P31" s="109">
        <f t="shared" si="6"/>
        <v>3.4482758620689655E-2</v>
      </c>
      <c r="Q31" s="109">
        <f t="shared" si="6"/>
        <v>3.4482758620689655E-2</v>
      </c>
      <c r="R31" s="109">
        <f t="shared" si="6"/>
        <v>3.4482758620689655E-2</v>
      </c>
      <c r="S31" s="109">
        <f t="shared" si="6"/>
        <v>3.4482758620689655E-2</v>
      </c>
      <c r="T31" s="109">
        <f t="shared" si="6"/>
        <v>3.4482758620689655E-2</v>
      </c>
      <c r="U31" s="109">
        <f t="shared" si="6"/>
        <v>3.4482758620689655E-2</v>
      </c>
      <c r="V31" s="109">
        <f t="shared" si="6"/>
        <v>3.4482758620689655E-2</v>
      </c>
      <c r="W31" s="109">
        <f t="shared" si="6"/>
        <v>3.4482758620689655E-2</v>
      </c>
      <c r="X31" s="109">
        <f t="shared" si="6"/>
        <v>3.4482758620689655E-2</v>
      </c>
      <c r="Y31" s="109">
        <f t="shared" si="6"/>
        <v>3.4482758620689655E-2</v>
      </c>
      <c r="Z31" s="109">
        <f t="shared" si="6"/>
        <v>3.4482758620689655E-2</v>
      </c>
      <c r="AA31" s="109">
        <f t="shared" si="6"/>
        <v>3.4482758620689655E-2</v>
      </c>
      <c r="AB31" s="109">
        <f t="shared" si="6"/>
        <v>3.4482758620689655E-2</v>
      </c>
      <c r="AC31" s="109">
        <f t="shared" si="6"/>
        <v>3.4482758620689655E-2</v>
      </c>
      <c r="AD31" s="109">
        <f t="shared" si="6"/>
        <v>3.4482758620689655E-2</v>
      </c>
      <c r="AE31" s="109">
        <f t="shared" si="6"/>
        <v>3.4482758620689655E-2</v>
      </c>
      <c r="AF31" s="105">
        <f t="shared" si="6"/>
        <v>0</v>
      </c>
    </row>
    <row r="32" spans="2:32" s="88" customFormat="1" ht="15" thickBot="1">
      <c r="B32" s="88">
        <v>30</v>
      </c>
      <c r="C32" s="104">
        <f t="shared" si="4"/>
        <v>3.3333333333333333E-2</v>
      </c>
      <c r="D32" s="103">
        <f t="shared" si="6"/>
        <v>3.3333333333333333E-2</v>
      </c>
      <c r="E32" s="103">
        <f t="shared" si="6"/>
        <v>3.3333333333333333E-2</v>
      </c>
      <c r="F32" s="103">
        <f t="shared" si="6"/>
        <v>3.3333333333333333E-2</v>
      </c>
      <c r="G32" s="103">
        <f t="shared" si="6"/>
        <v>3.3333333333333333E-2</v>
      </c>
      <c r="H32" s="103">
        <f t="shared" si="6"/>
        <v>3.3333333333333333E-2</v>
      </c>
      <c r="I32" s="103">
        <f t="shared" si="6"/>
        <v>3.3333333333333333E-2</v>
      </c>
      <c r="J32" s="103">
        <f t="shared" si="6"/>
        <v>3.3333333333333333E-2</v>
      </c>
      <c r="K32" s="103">
        <f t="shared" si="6"/>
        <v>3.3333333333333333E-2</v>
      </c>
      <c r="L32" s="103">
        <f t="shared" si="6"/>
        <v>3.3333333333333333E-2</v>
      </c>
      <c r="M32" s="103">
        <f t="shared" si="6"/>
        <v>3.3333333333333333E-2</v>
      </c>
      <c r="N32" s="103">
        <f t="shared" si="6"/>
        <v>3.3333333333333333E-2</v>
      </c>
      <c r="O32" s="103">
        <f t="shared" si="6"/>
        <v>3.3333333333333333E-2</v>
      </c>
      <c r="P32" s="103">
        <f t="shared" si="6"/>
        <v>3.3333333333333333E-2</v>
      </c>
      <c r="Q32" s="103">
        <f t="shared" si="6"/>
        <v>3.3333333333333333E-2</v>
      </c>
      <c r="R32" s="103">
        <f t="shared" si="6"/>
        <v>3.3333333333333333E-2</v>
      </c>
      <c r="S32" s="103">
        <f t="shared" si="6"/>
        <v>3.3333333333333333E-2</v>
      </c>
      <c r="T32" s="103">
        <f t="shared" si="6"/>
        <v>3.3333333333333333E-2</v>
      </c>
      <c r="U32" s="103">
        <f t="shared" si="6"/>
        <v>3.3333333333333333E-2</v>
      </c>
      <c r="V32" s="103">
        <f t="shared" si="6"/>
        <v>3.3333333333333333E-2</v>
      </c>
      <c r="W32" s="103">
        <f t="shared" si="6"/>
        <v>3.3333333333333333E-2</v>
      </c>
      <c r="X32" s="103">
        <f t="shared" si="6"/>
        <v>3.3333333333333333E-2</v>
      </c>
      <c r="Y32" s="103">
        <f t="shared" si="6"/>
        <v>3.3333333333333333E-2</v>
      </c>
      <c r="Z32" s="103">
        <f t="shared" si="6"/>
        <v>3.3333333333333333E-2</v>
      </c>
      <c r="AA32" s="103">
        <f t="shared" si="6"/>
        <v>3.3333333333333333E-2</v>
      </c>
      <c r="AB32" s="103">
        <f t="shared" si="6"/>
        <v>3.3333333333333333E-2</v>
      </c>
      <c r="AC32" s="103">
        <f t="shared" si="6"/>
        <v>3.3333333333333333E-2</v>
      </c>
      <c r="AD32" s="103">
        <f t="shared" si="6"/>
        <v>3.3333333333333333E-2</v>
      </c>
      <c r="AE32" s="103">
        <f t="shared" si="6"/>
        <v>3.3333333333333333E-2</v>
      </c>
      <c r="AF32" s="102">
        <f t="shared" si="6"/>
        <v>3.3333333333333333E-2</v>
      </c>
    </row>
    <row r="33" spans="2:32" s="88" customFormat="1"/>
    <row r="34" spans="2:32" ht="16.2" thickBot="1">
      <c r="B34" s="97" t="s">
        <v>45</v>
      </c>
      <c r="C34" s="4">
        <v>1</v>
      </c>
      <c r="D34" s="4">
        <v>2</v>
      </c>
      <c r="E34" s="4">
        <v>3</v>
      </c>
      <c r="F34" s="4">
        <v>4</v>
      </c>
      <c r="G34" s="88">
        <v>5</v>
      </c>
      <c r="H34" s="88">
        <v>6</v>
      </c>
      <c r="I34" s="88">
        <v>7</v>
      </c>
      <c r="J34" s="88">
        <v>8</v>
      </c>
      <c r="K34" s="88">
        <v>9</v>
      </c>
      <c r="L34" s="88">
        <v>10</v>
      </c>
      <c r="M34" s="88">
        <v>11</v>
      </c>
      <c r="N34" s="88">
        <v>12</v>
      </c>
      <c r="O34" s="88">
        <v>13</v>
      </c>
      <c r="P34" s="88">
        <v>14</v>
      </c>
      <c r="Q34" s="88">
        <v>15</v>
      </c>
      <c r="R34" s="88">
        <v>16</v>
      </c>
      <c r="S34" s="88">
        <v>17</v>
      </c>
      <c r="T34" s="88">
        <v>18</v>
      </c>
      <c r="U34" s="88">
        <v>19</v>
      </c>
      <c r="V34" s="88">
        <v>20</v>
      </c>
      <c r="W34" s="88">
        <v>21</v>
      </c>
      <c r="X34" s="88">
        <v>22</v>
      </c>
      <c r="Y34" s="88">
        <v>23</v>
      </c>
      <c r="Z34" s="88">
        <v>24</v>
      </c>
      <c r="AA34" s="88">
        <v>25</v>
      </c>
      <c r="AB34" s="88">
        <v>26</v>
      </c>
      <c r="AC34" s="88">
        <v>27</v>
      </c>
      <c r="AD34" s="88">
        <v>28</v>
      </c>
      <c r="AE34" s="88">
        <v>29</v>
      </c>
      <c r="AF34" s="88">
        <v>30</v>
      </c>
    </row>
    <row r="35" spans="2:32">
      <c r="B35">
        <v>3</v>
      </c>
      <c r="C35" s="107">
        <v>0.33329999999999999</v>
      </c>
      <c r="D35" s="110">
        <v>0.44450000000000001</v>
      </c>
      <c r="E35" s="110">
        <v>0.14810000000000001</v>
      </c>
      <c r="F35" s="110">
        <v>7.4099999999999999E-2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1">
        <v>0</v>
      </c>
    </row>
    <row r="36" spans="2:32">
      <c r="B36">
        <v>5</v>
      </c>
      <c r="C36" s="106">
        <v>0.2</v>
      </c>
      <c r="D36" s="109">
        <v>0.32</v>
      </c>
      <c r="E36" s="109">
        <v>0.192</v>
      </c>
      <c r="F36" s="109">
        <v>0.1152</v>
      </c>
      <c r="G36" s="109">
        <v>0.1152</v>
      </c>
      <c r="H36" s="109">
        <v>5.7599999999999998E-2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09">
        <v>0</v>
      </c>
      <c r="U36" s="109">
        <v>0</v>
      </c>
      <c r="V36" s="109">
        <v>0</v>
      </c>
      <c r="W36" s="109">
        <v>0</v>
      </c>
      <c r="X36" s="109">
        <v>0</v>
      </c>
      <c r="Y36" s="109">
        <v>0</v>
      </c>
      <c r="Z36" s="109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5">
        <v>0</v>
      </c>
    </row>
    <row r="37" spans="2:32">
      <c r="B37">
        <v>7</v>
      </c>
      <c r="C37" s="106">
        <v>0.1429</v>
      </c>
      <c r="D37" s="109">
        <v>0.24490000000000001</v>
      </c>
      <c r="E37" s="109">
        <v>0.1749</v>
      </c>
      <c r="F37" s="109">
        <v>0.1249</v>
      </c>
      <c r="G37" s="109">
        <v>8.9300000000000004E-2</v>
      </c>
      <c r="H37" s="109">
        <v>8.9200000000000002E-2</v>
      </c>
      <c r="I37" s="109">
        <v>8.9300000000000004E-2</v>
      </c>
      <c r="J37" s="109">
        <v>4.4600000000000001E-2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09">
        <v>0</v>
      </c>
      <c r="U37" s="109">
        <v>0</v>
      </c>
      <c r="V37" s="109">
        <v>0</v>
      </c>
      <c r="W37" s="109">
        <v>0</v>
      </c>
      <c r="X37" s="109">
        <v>0</v>
      </c>
      <c r="Y37" s="109">
        <v>0</v>
      </c>
      <c r="Z37" s="109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5">
        <v>0</v>
      </c>
    </row>
    <row r="38" spans="2:32">
      <c r="B38">
        <v>10</v>
      </c>
      <c r="C38" s="106">
        <v>0.1</v>
      </c>
      <c r="D38" s="109">
        <v>0.18</v>
      </c>
      <c r="E38" s="109">
        <v>0.14399999999999999</v>
      </c>
      <c r="F38" s="109">
        <v>0.1152</v>
      </c>
      <c r="G38" s="109">
        <v>9.2200000000000004E-2</v>
      </c>
      <c r="H38" s="109">
        <v>7.3700000000000002E-2</v>
      </c>
      <c r="I38" s="109">
        <v>6.5500000000000003E-2</v>
      </c>
      <c r="J38" s="109">
        <v>6.5500000000000003E-2</v>
      </c>
      <c r="K38" s="109">
        <v>6.5600000000000006E-2</v>
      </c>
      <c r="L38" s="109">
        <v>6.5500000000000003E-2</v>
      </c>
      <c r="M38" s="109">
        <v>3.2800000000000003E-2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09">
        <v>0</v>
      </c>
      <c r="U38" s="109">
        <v>0</v>
      </c>
      <c r="V38" s="109">
        <v>0</v>
      </c>
      <c r="W38" s="109">
        <v>0</v>
      </c>
      <c r="X38" s="109">
        <v>0</v>
      </c>
      <c r="Y38" s="109">
        <v>0</v>
      </c>
      <c r="Z38" s="109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5">
        <v>0</v>
      </c>
    </row>
    <row r="39" spans="2:32">
      <c r="B39">
        <v>15</v>
      </c>
      <c r="C39" s="106">
        <v>0.05</v>
      </c>
      <c r="D39" s="109">
        <v>9.5000000000000001E-2</v>
      </c>
      <c r="E39" s="109">
        <v>8.5500000000000007E-2</v>
      </c>
      <c r="F39" s="109">
        <v>7.6999999999999999E-2</v>
      </c>
      <c r="G39" s="109">
        <v>6.93E-2</v>
      </c>
      <c r="H39" s="109">
        <v>6.2300000000000001E-2</v>
      </c>
      <c r="I39" s="109">
        <v>5.9000000000000004E-2</v>
      </c>
      <c r="J39" s="109">
        <v>5.9000000000000004E-2</v>
      </c>
      <c r="K39" s="109">
        <v>5.91E-2</v>
      </c>
      <c r="L39" s="109">
        <v>5.9000000000000004E-2</v>
      </c>
      <c r="M39" s="109">
        <v>5.91E-2</v>
      </c>
      <c r="N39" s="109">
        <v>5.8999999999999997E-2</v>
      </c>
      <c r="O39" s="109">
        <v>5.91E-2</v>
      </c>
      <c r="P39" s="109">
        <v>5.8999999999999997E-2</v>
      </c>
      <c r="Q39" s="109">
        <v>5.91E-2</v>
      </c>
      <c r="R39" s="109">
        <v>2.9499999999999998E-2</v>
      </c>
      <c r="S39" s="109">
        <v>0</v>
      </c>
      <c r="T39" s="109">
        <v>0</v>
      </c>
      <c r="U39" s="109">
        <v>0</v>
      </c>
      <c r="V39" s="109">
        <v>0</v>
      </c>
      <c r="W39" s="109">
        <v>0</v>
      </c>
      <c r="X39" s="109">
        <v>0</v>
      </c>
      <c r="Y39" s="109">
        <v>0</v>
      </c>
      <c r="Z39" s="109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5">
        <v>0</v>
      </c>
    </row>
    <row r="40" spans="2:32" ht="15" thickBot="1">
      <c r="B40">
        <v>20</v>
      </c>
      <c r="C40" s="104">
        <v>3.7499999999999999E-2</v>
      </c>
      <c r="D40" s="103">
        <v>7.2190000000000004E-2</v>
      </c>
      <c r="E40" s="103">
        <v>6.6769999999999996E-2</v>
      </c>
      <c r="F40" s="103">
        <v>6.1769999999999999E-2</v>
      </c>
      <c r="G40" s="103">
        <v>5.713E-2</v>
      </c>
      <c r="H40" s="103">
        <v>5.2850000000000001E-2</v>
      </c>
      <c r="I40" s="103">
        <v>4.888E-2</v>
      </c>
      <c r="J40" s="103">
        <v>4.5220000000000003E-2</v>
      </c>
      <c r="K40" s="103">
        <v>4.462E-2</v>
      </c>
      <c r="L40" s="103">
        <v>4.4610000000000004E-2</v>
      </c>
      <c r="M40" s="103">
        <v>4.462E-2</v>
      </c>
      <c r="N40" s="103">
        <v>4.4610000000000004E-2</v>
      </c>
      <c r="O40" s="103">
        <v>4.462E-2</v>
      </c>
      <c r="P40" s="103">
        <v>4.4610000000000004E-2</v>
      </c>
      <c r="Q40" s="103">
        <v>4.462E-2</v>
      </c>
      <c r="R40" s="103">
        <v>4.4610000000000004E-2</v>
      </c>
      <c r="S40" s="103">
        <v>4.462E-2</v>
      </c>
      <c r="T40" s="103">
        <v>4.4610000000000004E-2</v>
      </c>
      <c r="U40" s="103">
        <v>4.462E-2</v>
      </c>
      <c r="V40" s="103">
        <v>4.4610000000000004E-2</v>
      </c>
      <c r="W40" s="103">
        <v>2.231E-2</v>
      </c>
      <c r="X40" s="103">
        <v>0</v>
      </c>
      <c r="Y40" s="103">
        <v>0</v>
      </c>
      <c r="Z40" s="103">
        <v>0</v>
      </c>
      <c r="AA40" s="103">
        <v>0</v>
      </c>
      <c r="AB40" s="103">
        <v>0</v>
      </c>
      <c r="AC40" s="103">
        <v>0</v>
      </c>
      <c r="AD40" s="103">
        <v>0</v>
      </c>
      <c r="AE40" s="103">
        <v>0</v>
      </c>
      <c r="AF40" s="102">
        <v>0</v>
      </c>
    </row>
    <row r="41" spans="2:32" s="88" customFormat="1"/>
    <row r="42" spans="2:32" ht="16.2" thickBot="1">
      <c r="B42" s="96" t="s">
        <v>79</v>
      </c>
      <c r="C42" s="108">
        <v>1</v>
      </c>
      <c r="D42" s="108">
        <v>2</v>
      </c>
      <c r="E42" s="108">
        <v>3</v>
      </c>
      <c r="F42" s="108">
        <v>4</v>
      </c>
      <c r="G42" s="108">
        <v>5</v>
      </c>
      <c r="H42" s="108">
        <v>6</v>
      </c>
      <c r="I42" s="108">
        <v>7</v>
      </c>
      <c r="J42" s="108">
        <v>8</v>
      </c>
      <c r="K42" s="108">
        <v>9</v>
      </c>
      <c r="L42" s="108">
        <v>10</v>
      </c>
      <c r="M42" s="108">
        <v>11</v>
      </c>
      <c r="N42" s="108">
        <v>12</v>
      </c>
      <c r="O42" s="108">
        <v>13</v>
      </c>
      <c r="P42" s="108">
        <v>14</v>
      </c>
      <c r="Q42" s="108">
        <v>15</v>
      </c>
      <c r="R42" s="108">
        <v>16</v>
      </c>
      <c r="S42" s="108">
        <v>17</v>
      </c>
      <c r="T42" s="108">
        <v>18</v>
      </c>
      <c r="U42" s="108">
        <v>19</v>
      </c>
      <c r="V42" s="108">
        <v>20</v>
      </c>
      <c r="W42" s="108">
        <v>21</v>
      </c>
      <c r="X42" s="108">
        <v>22</v>
      </c>
      <c r="Y42" s="108">
        <v>23</v>
      </c>
      <c r="Z42" s="108">
        <v>24</v>
      </c>
      <c r="AA42" s="108">
        <v>25</v>
      </c>
      <c r="AB42" s="108">
        <v>26</v>
      </c>
      <c r="AC42" s="108">
        <v>27</v>
      </c>
      <c r="AD42" s="108">
        <v>28</v>
      </c>
      <c r="AE42" s="108">
        <v>29</v>
      </c>
      <c r="AF42" s="108">
        <v>30</v>
      </c>
    </row>
    <row r="43" spans="2:32">
      <c r="B43">
        <v>5</v>
      </c>
      <c r="C43" s="101">
        <v>0.6</v>
      </c>
      <c r="D43" s="100">
        <v>0.16</v>
      </c>
      <c r="E43" s="100">
        <v>9.6000000000000002E-2</v>
      </c>
      <c r="F43" s="100">
        <v>5.7599999999999998E-2</v>
      </c>
      <c r="G43" s="100">
        <v>5.7599999999999998E-2</v>
      </c>
      <c r="H43" s="100">
        <v>2.8799999999999999E-2</v>
      </c>
      <c r="I43" s="110">
        <v>0</v>
      </c>
      <c r="J43" s="110">
        <v>0</v>
      </c>
      <c r="K43" s="110">
        <v>0</v>
      </c>
      <c r="L43" s="110">
        <v>0</v>
      </c>
      <c r="M43" s="110">
        <v>0</v>
      </c>
      <c r="N43" s="110">
        <v>0</v>
      </c>
      <c r="O43" s="110">
        <v>0</v>
      </c>
      <c r="P43" s="110">
        <v>0</v>
      </c>
      <c r="Q43" s="110">
        <v>0</v>
      </c>
      <c r="R43" s="110">
        <v>0</v>
      </c>
      <c r="S43" s="110">
        <v>0</v>
      </c>
      <c r="T43" s="110">
        <v>0</v>
      </c>
      <c r="U43" s="110">
        <v>0</v>
      </c>
      <c r="V43" s="110">
        <v>0</v>
      </c>
      <c r="W43" s="110">
        <v>0</v>
      </c>
      <c r="X43" s="110">
        <v>0</v>
      </c>
      <c r="Y43" s="110">
        <v>0</v>
      </c>
      <c r="Z43" s="110">
        <v>0</v>
      </c>
      <c r="AA43" s="110">
        <v>0</v>
      </c>
      <c r="AB43" s="110">
        <v>0</v>
      </c>
      <c r="AC43" s="110">
        <v>0</v>
      </c>
      <c r="AD43" s="110">
        <v>0</v>
      </c>
      <c r="AE43" s="110">
        <v>0</v>
      </c>
      <c r="AF43" s="111">
        <v>0</v>
      </c>
    </row>
    <row r="44" spans="2:32" ht="15" thickBot="1">
      <c r="B44">
        <v>7</v>
      </c>
      <c r="C44" s="99">
        <v>0.57145000000000001</v>
      </c>
      <c r="D44" s="98">
        <v>0.12245</v>
      </c>
      <c r="E44" s="98">
        <v>8.745E-2</v>
      </c>
      <c r="F44" s="98">
        <v>6.2449999999999999E-2</v>
      </c>
      <c r="G44" s="98">
        <v>4.4650000000000002E-2</v>
      </c>
      <c r="H44" s="98">
        <v>4.4600000000000001E-2</v>
      </c>
      <c r="I44" s="98">
        <v>4.4650000000000002E-2</v>
      </c>
      <c r="J44" s="98">
        <v>2.23E-2</v>
      </c>
      <c r="K44" s="103">
        <v>0</v>
      </c>
      <c r="L44" s="103">
        <v>0</v>
      </c>
      <c r="M44" s="103">
        <v>0</v>
      </c>
      <c r="N44" s="103">
        <v>0</v>
      </c>
      <c r="O44" s="103">
        <v>0</v>
      </c>
      <c r="P44" s="103">
        <v>0</v>
      </c>
      <c r="Q44" s="103">
        <v>0</v>
      </c>
      <c r="R44" s="103">
        <v>0</v>
      </c>
      <c r="S44" s="103">
        <v>0</v>
      </c>
      <c r="T44" s="103">
        <v>0</v>
      </c>
      <c r="U44" s="103">
        <v>0</v>
      </c>
      <c r="V44" s="103">
        <v>0</v>
      </c>
      <c r="W44" s="103">
        <v>0</v>
      </c>
      <c r="X44" s="103">
        <v>0</v>
      </c>
      <c r="Y44" s="103">
        <v>0</v>
      </c>
      <c r="Z44" s="103">
        <v>0</v>
      </c>
      <c r="AA44" s="103">
        <v>0</v>
      </c>
      <c r="AB44" s="103">
        <v>0</v>
      </c>
      <c r="AC44" s="103">
        <v>0</v>
      </c>
      <c r="AD44" s="103">
        <v>0</v>
      </c>
      <c r="AE44" s="103">
        <v>0</v>
      </c>
      <c r="AF44" s="102">
        <v>0</v>
      </c>
    </row>
    <row r="46" spans="2:32">
      <c r="B46" t="s">
        <v>93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25"/>
  <sheetViews>
    <sheetView topLeftCell="A4" workbookViewId="0">
      <selection activeCell="B22" sqref="B22"/>
    </sheetView>
  </sheetViews>
  <sheetFormatPr defaultRowHeight="14.4"/>
  <cols>
    <col min="1" max="1" width="83.109375" customWidth="1"/>
    <col min="2" max="2" width="128.33203125" bestFit="1" customWidth="1"/>
  </cols>
  <sheetData>
    <row r="1" spans="1:2" s="112" customFormat="1">
      <c r="A1" s="592"/>
      <c r="B1" s="592"/>
    </row>
    <row r="2" spans="1:2">
      <c r="A2" s="592" t="s">
        <v>5</v>
      </c>
      <c r="B2" s="592" t="s">
        <v>111</v>
      </c>
    </row>
    <row r="3" spans="1:2">
      <c r="A3" s="592" t="s">
        <v>106</v>
      </c>
      <c r="B3" s="592" t="s">
        <v>107</v>
      </c>
    </row>
    <row r="4" spans="1:2" s="592" customFormat="1">
      <c r="A4" s="592" t="s">
        <v>106</v>
      </c>
      <c r="B4" s="592" t="s">
        <v>147</v>
      </c>
    </row>
    <row r="5" spans="1:2" s="592" customFormat="1">
      <c r="A5" s="592" t="s">
        <v>106</v>
      </c>
      <c r="B5" s="592" t="s">
        <v>148</v>
      </c>
    </row>
    <row r="6" spans="1:2">
      <c r="A6" s="592" t="s">
        <v>110</v>
      </c>
      <c r="B6" s="592" t="s">
        <v>109</v>
      </c>
    </row>
    <row r="7" spans="1:2">
      <c r="A7" s="592" t="s">
        <v>114</v>
      </c>
      <c r="B7" s="592" t="s">
        <v>113</v>
      </c>
    </row>
    <row r="8" spans="1:2">
      <c r="A8" s="592" t="s">
        <v>158</v>
      </c>
      <c r="B8" s="592" t="s">
        <v>159</v>
      </c>
    </row>
    <row r="9" spans="1:2">
      <c r="A9" s="592" t="s">
        <v>158</v>
      </c>
      <c r="B9" s="592" t="s">
        <v>160</v>
      </c>
    </row>
    <row r="10" spans="1:2">
      <c r="A10" s="592" t="s">
        <v>115</v>
      </c>
      <c r="B10" s="592" t="s">
        <v>116</v>
      </c>
    </row>
    <row r="11" spans="1:2">
      <c r="A11" s="592" t="s">
        <v>119</v>
      </c>
      <c r="B11" s="592" t="s">
        <v>112</v>
      </c>
    </row>
    <row r="12" spans="1:2">
      <c r="A12" s="592" t="s">
        <v>117</v>
      </c>
      <c r="B12" s="592" t="s">
        <v>118</v>
      </c>
    </row>
    <row r="13" spans="1:2">
      <c r="A13" s="592" t="s">
        <v>120</v>
      </c>
      <c r="B13" s="592" t="s">
        <v>121</v>
      </c>
    </row>
    <row r="14" spans="1:2">
      <c r="A14" s="592" t="s">
        <v>108</v>
      </c>
      <c r="B14" s="592"/>
    </row>
    <row r="15" spans="1:2" s="138" customFormat="1">
      <c r="A15" s="592" t="s">
        <v>125</v>
      </c>
      <c r="B15" s="592" t="s">
        <v>124</v>
      </c>
    </row>
    <row r="16" spans="1:2" s="592" customFormat="1">
      <c r="A16" s="592" t="s">
        <v>136</v>
      </c>
      <c r="B16" s="592" t="s">
        <v>135</v>
      </c>
    </row>
    <row r="17" spans="1:2" s="592" customFormat="1">
      <c r="A17" s="592" t="s">
        <v>136</v>
      </c>
      <c r="B17" s="592" t="s">
        <v>138</v>
      </c>
    </row>
    <row r="18" spans="1:2" s="592" customFormat="1">
      <c r="A18" s="592" t="s">
        <v>144</v>
      </c>
      <c r="B18" s="592" t="s">
        <v>143</v>
      </c>
    </row>
    <row r="19" spans="1:2" s="592" customFormat="1">
      <c r="A19" s="592" t="s">
        <v>144</v>
      </c>
      <c r="B19" s="592" t="s">
        <v>145</v>
      </c>
    </row>
    <row r="20" spans="1:2">
      <c r="A20" s="592" t="s">
        <v>144</v>
      </c>
      <c r="B20" s="592" t="s">
        <v>163</v>
      </c>
    </row>
    <row r="21" spans="1:2">
      <c r="A21" s="592" t="s">
        <v>144</v>
      </c>
      <c r="B21" s="592" t="s">
        <v>161</v>
      </c>
    </row>
    <row r="22" spans="1:2">
      <c r="A22" s="592" t="s">
        <v>162</v>
      </c>
      <c r="B22" s="592" t="s">
        <v>146</v>
      </c>
    </row>
    <row r="23" spans="1:2">
      <c r="A23" s="592"/>
      <c r="B23" s="592"/>
    </row>
    <row r="24" spans="1:2">
      <c r="A24" s="592" t="s">
        <v>123</v>
      </c>
      <c r="B24" s="592"/>
    </row>
    <row r="25" spans="1:2">
      <c r="A25" s="592" t="s">
        <v>140</v>
      </c>
      <c r="B25" s="59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PubName xmlns="bc9193fa-da7c-4f7e-bc3a-c361af9cbbfe">2016-01-22T04:00:00+00:00</PubName>
    <ChildDocFolderPath xmlns="bc9193fa-da7c-4f7e-bc3a-c361af9cbbfe" xsi:nil="true"/>
    <IconOverlay xmlns="http://schemas.microsoft.com/sharepoint/v4" xsi:nil="true"/>
    <LeftPane xmlns="bc9193fa-da7c-4f7e-bc3a-c361af9cbbfe">false</LeftPane>
    <DocType xmlns="bc9193fa-da7c-4f7e-bc3a-c361af9cbbfe" xsi:nil="true"/>
    <LongTitle xmlns="bc9193fa-da7c-4f7e-bc3a-c361af9cbbfe">Agenda 7 - Preliminary Limited Renewable Analysis</LongTitle>
    <Updated xmlns="bc9193fa-da7c-4f7e-bc3a-c361af9cbbfe" xsi:nil="true"/>
    <SubTitle xmlns="bc9193fa-da7c-4f7e-bc3a-c361af9cbbfe" xsi:nil="true"/>
    <SortOrder xmlns="bc9193fa-da7c-4f7e-bc3a-c361af9cbbfe">7.1</S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T_Web Doc" ma:contentTypeID="0x0101007B730CA0CBE4314FA7F12FDC8A63269A00D58D8D1D26BC8845969EDFAA399DD42F" ma:contentTypeVersion="50" ma:contentTypeDescription="" ma:contentTypeScope="" ma:versionID="e27d69de416baf74d4313bae766d3593">
  <xsd:schema xmlns:xsd="http://www.w3.org/2001/XMLSchema" xmlns:xs="http://www.w3.org/2001/XMLSchema" xmlns:p="http://schemas.microsoft.com/office/2006/metadata/properties" xmlns:ns1="bc9193fa-da7c-4f7e-bc3a-c361af9cbbfe" xmlns:ns3="http://schemas.microsoft.com/sharepoint/v4" targetNamespace="http://schemas.microsoft.com/office/2006/metadata/properties" ma:root="true" ma:fieldsID="07e0a04583ad0f5d3bf7f813101a2223" ns1:_="" ns3:_="">
    <xsd:import namespace="bc9193fa-da7c-4f7e-bc3a-c361af9cbbfe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1:LongTitle"/>
                <xsd:element ref="ns1:PubName"/>
                <xsd:element ref="ns1:DocType" minOccurs="0"/>
                <xsd:element ref="ns1:SubTitle" minOccurs="0"/>
                <xsd:element ref="ns1:ChildDocFolderPath" minOccurs="0"/>
                <xsd:element ref="ns1:LeftPane" minOccurs="0"/>
                <xsd:element ref="ns1:Updated" minOccurs="0"/>
                <xsd:element ref="ns1:SortOrder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193fa-da7c-4f7e-bc3a-c361af9cbbfe" elementFormDefault="qualified">
    <xsd:import namespace="http://schemas.microsoft.com/office/2006/documentManagement/types"/>
    <xsd:import namespace="http://schemas.microsoft.com/office/infopath/2007/PartnerControls"/>
    <xsd:element name="LongTitle" ma:index="0" ma:displayName="LongTitle" ma:internalName="LongTitle" ma:readOnly="false">
      <xsd:simpleType>
        <xsd:restriction base="dms:Note"/>
      </xsd:simpleType>
    </xsd:element>
    <xsd:element name="PubName" ma:index="2" ma:displayName="PubDate" ma:default="[today]" ma:format="DateOnly" ma:internalName="PubName" ma:readOnly="false">
      <xsd:simpleType>
        <xsd:restriction base="dms:DateTime"/>
      </xsd:simpleType>
    </xsd:element>
    <xsd:element name="DocType" ma:index="3" nillable="true" ma:displayName="Doc Type" ma:internalName="DocType" ma:readOnly="false">
      <xsd:simpleType>
        <xsd:restriction base="dms:Text">
          <xsd:maxLength value="255"/>
        </xsd:restriction>
      </xsd:simpleType>
    </xsd:element>
    <xsd:element name="SubTitle" ma:index="4" nillable="true" ma:displayName="SubTitle" ma:internalName="SubTitle">
      <xsd:simpleType>
        <xsd:restriction base="dms:Note"/>
      </xsd:simpleType>
    </xsd:element>
    <xsd:element name="ChildDocFolderPath" ma:index="5" nillable="true" ma:displayName="ChildDocFolderPath" ma:description="Enter the path to the folder containing child documents." ma:internalName="ChildDocFolderPath">
      <xsd:simpleType>
        <xsd:restriction base="dms:Text">
          <xsd:maxLength value="255"/>
        </xsd:restriction>
      </xsd:simpleType>
    </xsd:element>
    <xsd:element name="LeftPane" ma:index="6" nillable="true" ma:displayName="LeftPane" ma:default="0" ma:internalName="LeftPane" ma:readOnly="false">
      <xsd:simpleType>
        <xsd:restriction base="dms:Boolean"/>
      </xsd:simpleType>
    </xsd:element>
    <xsd:element name="Updated" ma:index="7" nillable="true" ma:displayName="Updated" ma:hidden="true" ma:internalName="Updated" ma:readOnly="false">
      <xsd:simpleType>
        <xsd:restriction base="dms:Number"/>
      </xsd:simpleType>
    </xsd:element>
    <xsd:element name="SortOrder" ma:index="8" nillable="true" ma:displayName="Sort Order" ma:internalName="SortOrder" ma:readOnly="false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9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D73421-0549-42DB-8A48-AAC0724BBCDC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F2D4D31-E34C-4088-B6D2-741DBE5E68F4}">
  <ds:schemaRefs>
    <ds:schemaRef ds:uri="http://schemas.microsoft.com/office/2006/metadata/properties"/>
    <ds:schemaRef ds:uri="bc9193fa-da7c-4f7e-bc3a-c361af9cbbfe"/>
    <ds:schemaRef ds:uri="http://schemas.microsoft.com/sharepoint/v4"/>
  </ds:schemaRefs>
</ds:datastoreItem>
</file>

<file path=customXml/itemProps3.xml><?xml version="1.0" encoding="utf-8"?>
<ds:datastoreItem xmlns:ds="http://schemas.openxmlformats.org/officeDocument/2006/customXml" ds:itemID="{2271F3CF-EA03-49D2-852D-770996B28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9193fa-da7c-4f7e-bc3a-c361af9cbbfe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6C184B8-6E48-4ABE-B505-A84FFEE63D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20</vt:i4>
      </vt:variant>
    </vt:vector>
  </HeadingPairs>
  <TitlesOfParts>
    <vt:vector size="28" baseType="lpstr">
      <vt:lpstr>Offshore Wind NYC</vt:lpstr>
      <vt:lpstr>Wind NYC</vt:lpstr>
      <vt:lpstr>Wind GHI</vt:lpstr>
      <vt:lpstr>Solar NYC</vt:lpstr>
      <vt:lpstr>Solar GHI</vt:lpstr>
      <vt:lpstr>ICAP Price&amp;Impact</vt:lpstr>
      <vt:lpstr>Depreciation Tables</vt:lpstr>
      <vt:lpstr>Assumptions</vt:lpstr>
      <vt:lpstr>'Offshore Wind NYC'!DepreciationTypes</vt:lpstr>
      <vt:lpstr>'Solar GHI'!DepreciationTypes</vt:lpstr>
      <vt:lpstr>'Solar NYC'!DepreciationTypes</vt:lpstr>
      <vt:lpstr>'Wind GHI'!DepreciationTypes</vt:lpstr>
      <vt:lpstr>'Wind NYC'!DepreciationTypes</vt:lpstr>
      <vt:lpstr>'Offshore Wind NYC'!MACRS</vt:lpstr>
      <vt:lpstr>'Solar GHI'!MACRS</vt:lpstr>
      <vt:lpstr>'Solar NYC'!MACRS</vt:lpstr>
      <vt:lpstr>'Wind GHI'!MACRS</vt:lpstr>
      <vt:lpstr>'Wind NYC'!MACRS</vt:lpstr>
      <vt:lpstr>'Offshore Wind NYC'!StraightLine</vt:lpstr>
      <vt:lpstr>'Solar GHI'!StraightLine</vt:lpstr>
      <vt:lpstr>'Solar NYC'!StraightLine</vt:lpstr>
      <vt:lpstr>'Wind GHI'!StraightLine</vt:lpstr>
      <vt:lpstr>'Wind NYC'!StraightLine</vt:lpstr>
      <vt:lpstr>'Offshore Wind NYC'!Yes</vt:lpstr>
      <vt:lpstr>'Solar GHI'!Yes</vt:lpstr>
      <vt:lpstr>'Solar NYC'!Yes</vt:lpstr>
      <vt:lpstr>'Wind GHI'!Yes</vt:lpstr>
      <vt:lpstr>'Wind NYC'!Yes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2015-11-25T14:08:30Z</dcterms:created>
  <dcterms:modified xsi:type="dcterms:W3CDTF">2016-04-13T20:02:36Z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295018997</vt:i4>
  </property>
  <property fmtid="{D5CDD505-2E9C-101B-9397-08002B2CF9AE}" pid="3" name="_NewReviewCycle">
    <vt:lpwstr/>
  </property>
  <property fmtid="{D5CDD505-2E9C-101B-9397-08002B2CF9AE}" pid="4" name="_PreviousAdHocReviewCycleID">
    <vt:i4>2113054845</vt:i4>
  </property>
  <property fmtid="{D5CDD505-2E9C-101B-9397-08002B2CF9AE}" pid="5" name="display_urn:schemas-microsoft-com:office:office#Editor">
    <vt:lpwstr>System Account</vt:lpwstr>
  </property>
  <property fmtid="{D5CDD505-2E9C-101B-9397-08002B2CF9AE}" pid="6" name="Order">
    <vt:lpwstr>8153400.00000000</vt:lpwstr>
  </property>
  <property fmtid="{D5CDD505-2E9C-101B-9397-08002B2CF9AE}" pid="7" name="ChildDoc4Name">
    <vt:lpwstr/>
  </property>
  <property fmtid="{D5CDD505-2E9C-101B-9397-08002B2CF9AE}" pid="8" name="xd_ProgID">
    <vt:lpwstr/>
  </property>
  <property fmtid="{D5CDD505-2E9C-101B-9397-08002B2CF9AE}" pid="9" name="ChildDoc1URL">
    <vt:lpwstr/>
  </property>
  <property fmtid="{D5CDD505-2E9C-101B-9397-08002B2CF9AE}" pid="10" name="ChildDoc2URL">
    <vt:lpwstr/>
  </property>
  <property fmtid="{D5CDD505-2E9C-101B-9397-08002B2CF9AE}" pid="11" name="SortOrder1">
    <vt:lpwstr/>
  </property>
  <property fmtid="{D5CDD505-2E9C-101B-9397-08002B2CF9AE}" pid="12" name="display_urn:schemas-microsoft-com:office:office#Author">
    <vt:lpwstr>System Account</vt:lpwstr>
  </property>
  <property fmtid="{D5CDD505-2E9C-101B-9397-08002B2CF9AE}" pid="13" name="TemplateUrl">
    <vt:lpwstr/>
  </property>
  <property fmtid="{D5CDD505-2E9C-101B-9397-08002B2CF9AE}" pid="14" name="ChildDoc5Name">
    <vt:lpwstr/>
  </property>
  <property fmtid="{D5CDD505-2E9C-101B-9397-08002B2CF9AE}" pid="15" name="ChildDoc1Name">
    <vt:lpwstr/>
  </property>
  <property fmtid="{D5CDD505-2E9C-101B-9397-08002B2CF9AE}" pid="16" name="ChildDoc2Name">
    <vt:lpwstr/>
  </property>
  <property fmtid="{D5CDD505-2E9C-101B-9397-08002B2CF9AE}" pid="17" name="ChildDoc3Name">
    <vt:lpwstr/>
  </property>
  <property fmtid="{D5CDD505-2E9C-101B-9397-08002B2CF9AE}" pid="18" name="URL">
    <vt:lpwstr/>
  </property>
  <property fmtid="{D5CDD505-2E9C-101B-9397-08002B2CF9AE}" pid="19" name="ChildDoc5URL">
    <vt:lpwstr/>
  </property>
  <property fmtid="{D5CDD505-2E9C-101B-9397-08002B2CF9AE}" pid="20" name="_SourceUrl">
    <vt:lpwstr/>
  </property>
  <property fmtid="{D5CDD505-2E9C-101B-9397-08002B2CF9AE}" pid="21" name="xd_Signature">
    <vt:lpwstr/>
  </property>
  <property fmtid="{D5CDD505-2E9C-101B-9397-08002B2CF9AE}" pid="22" name="ChildDoc3URL">
    <vt:lpwstr/>
  </property>
  <property fmtid="{D5CDD505-2E9C-101B-9397-08002B2CF9AE}" pid="23" name="ChildDoc4URL">
    <vt:lpwstr/>
  </property>
  <property fmtid="{D5CDD505-2E9C-101B-9397-08002B2CF9AE}" pid="24" name="_ReviewingToolsShownOnce">
    <vt:lpwstr/>
  </property>
</Properties>
</file>