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Settlement Compliance Filing\"/>
    </mc:Choice>
  </mc:AlternateContent>
  <xr:revisionPtr revIDLastSave="0" documentId="13_ncr:1_{0E1DD152-F9C7-4334-BC7E-B8FFEE588185}" xr6:coauthVersionLast="47" xr6:coauthVersionMax="47" xr10:uidLastSave="{00000000-0000-0000-0000-000000000000}"/>
  <bookViews>
    <workbookView xWindow="28680" yWindow="-120" windowWidth="29040" windowHeight="164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Items'!$A$1:$P$70</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A'!$A$1:$K$207</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4" l="1"/>
  <c r="E11" i="4"/>
  <c r="D11" i="4"/>
  <c r="H11" i="57"/>
  <c r="E57" i="4"/>
  <c r="H9" i="62"/>
  <c r="G57" i="54"/>
  <c r="G58" i="54"/>
  <c r="G59" i="54"/>
  <c r="G60" i="54"/>
  <c r="G56" i="54"/>
  <c r="G44" i="54"/>
  <c r="G43" i="54"/>
  <c r="G36" i="54"/>
  <c r="G33" i="54"/>
  <c r="G32" i="54"/>
  <c r="G31" i="54"/>
  <c r="G30" i="54"/>
  <c r="G29" i="54"/>
  <c r="G15" i="54"/>
  <c r="G16" i="54"/>
  <c r="G17" i="54"/>
  <c r="G18" i="54"/>
  <c r="G14" i="54"/>
  <c r="I57" i="4"/>
  <c r="F38" i="12"/>
  <c r="F29" i="12"/>
  <c r="F20" i="12"/>
  <c r="F11" i="12"/>
  <c r="D24" i="62"/>
  <c r="I51" i="56"/>
  <c r="I19" i="4"/>
  <c r="I17" i="4"/>
  <c r="I87" i="53"/>
  <c r="C87" i="53"/>
  <c r="I81" i="53"/>
  <c r="D77" i="53"/>
  <c r="C77" i="53"/>
  <c r="C44" i="53"/>
  <c r="C46" i="53"/>
  <c r="C53" i="53"/>
  <c r="C52" i="53"/>
  <c r="C51" i="53"/>
  <c r="C50" i="53"/>
  <c r="O21" i="62"/>
  <c r="N21" i="62"/>
  <c r="Q9" i="62"/>
  <c r="A87" i="53"/>
  <c r="C126" i="53"/>
  <c r="C124" i="53"/>
  <c r="C114" i="53"/>
  <c r="C113" i="53"/>
  <c r="C105" i="53"/>
  <c r="C42" i="53"/>
  <c r="C29" i="53"/>
  <c r="C28" i="53"/>
  <c r="C27" i="53"/>
  <c r="C26" i="53"/>
  <c r="C25" i="53"/>
  <c r="C24" i="53"/>
  <c r="C19" i="53"/>
  <c r="C18" i="53"/>
  <c r="C17" i="53"/>
  <c r="C16" i="53"/>
  <c r="C15" i="53"/>
  <c r="C14" i="53"/>
  <c r="E12" i="5"/>
  <c r="D12" i="5"/>
  <c r="C12" i="5"/>
  <c r="L44" i="12"/>
  <c r="A46" i="55" l="1"/>
  <c r="I37" i="55"/>
  <c r="M36" i="12" l="1"/>
  <c r="M27" i="12"/>
  <c r="M18" i="12"/>
  <c r="H31" i="3"/>
  <c r="C35" i="59" l="1"/>
  <c r="C31" i="59"/>
  <c r="C26" i="59"/>
  <c r="C21" i="59"/>
  <c r="C19" i="59"/>
  <c r="C18" i="59"/>
  <c r="C17" i="59"/>
  <c r="C16" i="59"/>
  <c r="C15" i="59"/>
  <c r="C14" i="59"/>
  <c r="I96" i="53"/>
  <c r="G71" i="56"/>
  <c r="F71" i="56"/>
  <c r="B3" i="56"/>
  <c r="D66" i="53"/>
  <c r="I66" i="53"/>
  <c r="L11" i="54" l="1"/>
  <c r="G13" i="57" l="1"/>
  <c r="G14" i="57"/>
  <c r="G15" i="57"/>
  <c r="G16" i="57"/>
  <c r="G17" i="57"/>
  <c r="G18" i="57"/>
  <c r="G19" i="57"/>
  <c r="G20" i="57"/>
  <c r="G21" i="57"/>
  <c r="G22" i="57"/>
  <c r="G23" i="57"/>
  <c r="G12" i="57"/>
  <c r="D205" i="53"/>
  <c r="I95" i="53" s="1"/>
  <c r="A30" i="4" l="1"/>
  <c r="A19" i="4"/>
  <c r="A20" i="4" s="1"/>
  <c r="L46" i="12" l="1"/>
  <c r="L47" i="12"/>
  <c r="L48" i="12"/>
  <c r="L49" i="12"/>
  <c r="L50" i="12"/>
  <c r="L51" i="12"/>
  <c r="L52" i="12"/>
  <c r="L53" i="12"/>
  <c r="L54" i="12"/>
  <c r="L55" i="12"/>
  <c r="L56" i="12"/>
  <c r="L57" i="12"/>
  <c r="L45" i="12"/>
  <c r="A3" i="59" l="1"/>
  <c r="B3" i="57"/>
  <c r="B3" i="4"/>
  <c r="A7" i="61"/>
  <c r="E28" i="4"/>
  <c r="N31" i="3"/>
  <c r="N10" i="3"/>
  <c r="D87" i="53"/>
  <c r="C67" i="12" l="1"/>
  <c r="C63" i="12"/>
  <c r="F44" i="12"/>
  <c r="C37" i="12"/>
  <c r="C36" i="12"/>
  <c r="C35" i="12"/>
  <c r="C28" i="12"/>
  <c r="C27" i="12"/>
  <c r="C26" i="12"/>
  <c r="C19" i="12"/>
  <c r="C18" i="12"/>
  <c r="C17" i="12"/>
  <c r="C10" i="12"/>
  <c r="C9" i="12"/>
  <c r="C8" i="12"/>
  <c r="L24" i="62" l="1"/>
  <c r="H24" i="62"/>
  <c r="E24" i="62"/>
  <c r="M24" i="62"/>
  <c r="J24" i="62"/>
  <c r="F24" i="62"/>
  <c r="F12" i="5"/>
  <c r="C34" i="54"/>
  <c r="N11" i="54"/>
  <c r="I11" i="54"/>
  <c r="G11" i="54"/>
  <c r="E11" i="54"/>
  <c r="A12" i="57"/>
  <c r="A13" i="57" s="1"/>
  <c r="A14" i="57" s="1"/>
  <c r="A15" i="57" s="1"/>
  <c r="A16" i="57" s="1"/>
  <c r="A17" i="57" s="1"/>
  <c r="A18" i="57" s="1"/>
  <c r="A19" i="57" s="1"/>
  <c r="A20" i="57" s="1"/>
  <c r="A21" i="57" s="1"/>
  <c r="A22" i="57" s="1"/>
  <c r="A23" i="57" s="1"/>
  <c r="A24" i="57" s="1"/>
  <c r="B2" i="3" l="1"/>
  <c r="F9" i="5"/>
  <c r="B27" i="61" l="1"/>
  <c r="B29" i="61" s="1"/>
  <c r="B31" i="61" s="1"/>
  <c r="B33" i="61" s="1"/>
  <c r="B35" i="61" s="1"/>
  <c r="D71" i="53"/>
  <c r="B22" i="54" l="1"/>
  <c r="A3" i="60"/>
  <c r="B3" i="55"/>
  <c r="A3" i="12"/>
  <c r="B3" i="62"/>
  <c r="B3" i="5"/>
  <c r="B6" i="54"/>
  <c r="B5" i="58"/>
  <c r="A12" i="62"/>
  <c r="A14" i="62" s="1"/>
  <c r="A16" i="62" s="1"/>
  <c r="A18" i="62" s="1"/>
  <c r="A20" i="62" s="1"/>
  <c r="B27" i="62"/>
  <c r="B29" i="62"/>
  <c r="B31" i="62"/>
  <c r="B25" i="62"/>
  <c r="A25" i="62" l="1"/>
  <c r="A27" i="62" s="1"/>
  <c r="A29" i="62" s="1"/>
  <c r="A31" i="62" s="1"/>
  <c r="A33" i="62" s="1"/>
  <c r="A35" i="62" s="1"/>
  <c r="O9" i="62"/>
  <c r="N9" i="62"/>
  <c r="M9" i="62"/>
  <c r="P9" i="62"/>
  <c r="L9" i="62"/>
  <c r="K9" i="62"/>
  <c r="J9" i="62"/>
  <c r="N33" i="3"/>
  <c r="I29"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1" i="53"/>
  <c r="C12" i="53"/>
  <c r="F19" i="60"/>
  <c r="F23" i="60" s="1"/>
  <c r="A13" i="60"/>
  <c r="A15" i="60" s="1"/>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E33" i="54"/>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E55" i="4"/>
  <c r="E76" i="4" s="1"/>
  <c r="E42" i="4"/>
  <c r="D10" i="4" s="1"/>
  <c r="B73" i="4"/>
  <c r="G62" i="4"/>
  <c r="F11" i="4" s="1"/>
  <c r="F62" i="4"/>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H27" i="58"/>
  <c r="A19" i="54"/>
  <c r="A22" i="54" s="1"/>
  <c r="A23" i="54" s="1"/>
  <c r="A24" i="54" s="1"/>
  <c r="A25" i="54" s="1"/>
  <c r="A26" i="54" s="1"/>
  <c r="A29" i="54" s="1"/>
  <c r="A30" i="54" s="1"/>
  <c r="A31" i="54" s="1"/>
  <c r="A32" i="54" s="1"/>
  <c r="A33" i="54" s="1"/>
  <c r="A34" i="54" s="1"/>
  <c r="G29" i="58"/>
  <c r="A16" i="60"/>
  <c r="A19" i="60" s="1"/>
  <c r="C21" i="60" s="1"/>
  <c r="F27" i="60"/>
  <c r="F29" i="60" s="1"/>
  <c r="I124"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I60" i="54" s="1"/>
  <c r="L60" i="54" s="1"/>
  <c r="N60" i="54" s="1"/>
  <c r="D59" i="54"/>
  <c r="E59" i="54" s="1"/>
  <c r="I59" i="54" s="1"/>
  <c r="L59" i="54" s="1"/>
  <c r="N59" i="54" s="1"/>
  <c r="D58" i="54"/>
  <c r="E58" i="54" s="1"/>
  <c r="I58" i="54" s="1"/>
  <c r="L58" i="54" s="1"/>
  <c r="N58" i="54" s="1"/>
  <c r="D57" i="54"/>
  <c r="E57" i="54" s="1"/>
  <c r="I57" i="54" s="1"/>
  <c r="L57" i="54" s="1"/>
  <c r="N57" i="54" s="1"/>
  <c r="D43" i="54"/>
  <c r="E43" i="54" s="1"/>
  <c r="L26" i="54"/>
  <c r="N23" i="54"/>
  <c r="N26" i="54" s="1"/>
  <c r="I26" i="54"/>
  <c r="D29" i="54"/>
  <c r="D17" i="54"/>
  <c r="D18" i="54"/>
  <c r="D15" i="54"/>
  <c r="D16" i="54"/>
  <c r="D48" i="54"/>
  <c r="D14" i="54"/>
  <c r="E14" i="54" s="1"/>
  <c r="D56" i="54"/>
  <c r="E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I29" i="54" s="1"/>
  <c r="D34" i="54"/>
  <c r="E48" i="54"/>
  <c r="D53" i="54"/>
  <c r="D61" i="54" s="1"/>
  <c r="I104" i="53"/>
  <c r="C19" i="60"/>
  <c r="C23" i="60"/>
  <c r="A21" i="60"/>
  <c r="A23" i="60" s="1"/>
  <c r="I126" i="53"/>
  <c r="E15" i="54"/>
  <c r="I15" i="54" s="1"/>
  <c r="E16" i="54"/>
  <c r="I16" i="54" s="1"/>
  <c r="E18" i="54"/>
  <c r="I18" i="54" s="1"/>
  <c r="E17" i="54"/>
  <c r="I17" i="54" s="1"/>
  <c r="D26" i="54"/>
  <c r="A36" i="54"/>
  <c r="A37" i="54" s="1"/>
  <c r="A38" i="54" s="1"/>
  <c r="A43" i="54" s="1"/>
  <c r="A44" i="54" s="1"/>
  <c r="A45" i="54" s="1"/>
  <c r="A48" i="54" s="1"/>
  <c r="D19" i="54"/>
  <c r="E61" i="54"/>
  <c r="E44" i="54"/>
  <c r="D45" i="54"/>
  <c r="G61" i="54"/>
  <c r="I43" i="54"/>
  <c r="L43" i="54" s="1"/>
  <c r="N43" i="54" s="1"/>
  <c r="E53" i="54"/>
  <c r="G48" i="54"/>
  <c r="I61" i="54"/>
  <c r="L56" i="54"/>
  <c r="A13" i="56"/>
  <c r="A14" i="56" s="1"/>
  <c r="A15" i="56" s="1"/>
  <c r="A14" i="4"/>
  <c r="A15" i="4" s="1"/>
  <c r="A16" i="4" s="1"/>
  <c r="I13" i="4"/>
  <c r="A24" i="56" l="1"/>
  <c r="D24" i="58"/>
  <c r="F25" i="58"/>
  <c r="H25" i="58" s="1"/>
  <c r="A25" i="60"/>
  <c r="A26" i="60" s="1"/>
  <c r="A27" i="60" s="1"/>
  <c r="A29" i="60" s="1"/>
  <c r="A49" i="54"/>
  <c r="A50" i="54" s="1"/>
  <c r="A51" i="54" s="1"/>
  <c r="A52" i="54" s="1"/>
  <c r="E34" i="54"/>
  <c r="L17" i="54"/>
  <c r="L16" i="54"/>
  <c r="G34" i="54"/>
  <c r="L18" i="54"/>
  <c r="L15" i="54"/>
  <c r="E19" i="54"/>
  <c r="G25" i="54"/>
  <c r="G26" i="54" s="1"/>
  <c r="E26"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8" i="54"/>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3" i="53"/>
  <c r="N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0" i="53"/>
  <c r="D170" i="53"/>
  <c r="I120"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A11" i="5"/>
  <c r="D97" i="53"/>
  <c r="F94" i="53"/>
  <c r="F27" i="53"/>
  <c r="F28" i="53" s="1"/>
  <c r="D80" i="53"/>
  <c r="B27" i="53"/>
  <c r="D67" i="3"/>
  <c r="I46" i="53" s="1"/>
  <c r="O20" i="62" s="1"/>
  <c r="D102" i="53" l="1"/>
  <c r="E11" i="5"/>
  <c r="D11" i="5"/>
  <c r="D18" i="58"/>
  <c r="F19" i="58"/>
  <c r="H19" i="58" s="1"/>
  <c r="D27" i="12"/>
  <c r="D36" i="12"/>
  <c r="L58" i="12"/>
  <c r="D8" i="12" s="1"/>
  <c r="D67" i="12"/>
  <c r="D18" i="12"/>
  <c r="A62" i="12"/>
  <c r="D9" i="12"/>
  <c r="F58" i="12"/>
  <c r="H67" i="3"/>
  <c r="D53" i="53" s="1"/>
  <c r="I35" i="53"/>
  <c r="I33" i="53"/>
  <c r="F29" i="53"/>
  <c r="I46" i="3"/>
  <c r="F10" i="62" s="1"/>
  <c r="F20" i="62" s="1"/>
  <c r="I30" i="3"/>
  <c r="G46" i="3"/>
  <c r="D27" i="53" s="1"/>
  <c r="B32" i="3"/>
  <c r="B53" i="3" s="1"/>
  <c r="B28" i="53"/>
  <c r="B25" i="53"/>
  <c r="A15" i="53"/>
  <c r="D152" i="53"/>
  <c r="D153" i="53" s="1"/>
  <c r="G67" i="3"/>
  <c r="D52" i="53" s="1"/>
  <c r="B51" i="3"/>
  <c r="F67" i="3"/>
  <c r="D51" i="53" s="1"/>
  <c r="E67" i="3"/>
  <c r="D50" i="53" s="1"/>
  <c r="F18" i="53"/>
  <c r="I25" i="3"/>
  <c r="D1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F8" i="12" s="1"/>
  <c r="A33" i="3"/>
  <c r="A34" i="3" s="1"/>
  <c r="A35" i="3" s="1"/>
  <c r="A36" i="3" s="1"/>
  <c r="A37" i="3" s="1"/>
  <c r="A38" i="3" s="1"/>
  <c r="A39" i="3" s="1"/>
  <c r="A40" i="3" s="1"/>
  <c r="A41" i="3" s="1"/>
  <c r="A42" i="3" s="1"/>
  <c r="A43" i="3" s="1"/>
  <c r="A44" i="3" s="1"/>
  <c r="A45" i="3" s="1"/>
  <c r="A46" i="3" s="1"/>
  <c r="D9" i="62"/>
  <c r="D17" i="12"/>
  <c r="D20" i="12" s="1"/>
  <c r="D35" i="12"/>
  <c r="D26" i="12"/>
  <c r="F35" i="12"/>
  <c r="F26" i="12"/>
  <c r="D19" i="12"/>
  <c r="D37" i="12"/>
  <c r="D28" i="12"/>
  <c r="D20" i="62"/>
  <c r="E10" i="62" s="1"/>
  <c r="H10" i="62"/>
  <c r="H20" i="62" s="1"/>
  <c r="N25" i="3"/>
  <c r="I15" i="53" s="1"/>
  <c r="D143" i="53" s="1"/>
  <c r="A63" i="12"/>
  <c r="A64" i="12" s="1"/>
  <c r="A66" i="12" s="1"/>
  <c r="D68" i="12"/>
  <c r="D10" i="12"/>
  <c r="D11" i="12" s="1"/>
  <c r="C143" i="53"/>
  <c r="C142" i="53"/>
  <c r="D38" i="53"/>
  <c r="E11" i="3"/>
  <c r="D36" i="53"/>
  <c r="A16" i="53"/>
  <c r="F17" i="12" l="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N10" i="62"/>
  <c r="D38" i="12"/>
  <c r="F36" i="12"/>
  <c r="F27" i="12"/>
  <c r="O10" i="62"/>
  <c r="E12" i="62"/>
  <c r="N12" i="62" s="1"/>
  <c r="E14" i="62"/>
  <c r="N14" i="62" s="1"/>
  <c r="E16" i="62"/>
  <c r="N16" i="62" s="1"/>
  <c r="E18" i="62"/>
  <c r="I34" i="53"/>
  <c r="C64" i="12"/>
  <c r="D29" i="12"/>
  <c r="A67" i="12"/>
  <c r="C68" i="12" s="1"/>
  <c r="F9" i="12"/>
  <c r="F18" i="12"/>
  <c r="G18" i="12" s="1"/>
  <c r="G10" i="12"/>
  <c r="F11" i="3"/>
  <c r="A17" i="53"/>
  <c r="G19" i="12" l="1"/>
  <c r="H27" i="62" s="1"/>
  <c r="G9" i="12"/>
  <c r="H25" i="62" s="1"/>
  <c r="G36" i="12"/>
  <c r="O14" i="62"/>
  <c r="O12" i="62"/>
  <c r="O16" i="62"/>
  <c r="E20" i="62"/>
  <c r="G17" i="12"/>
  <c r="A68" i="12"/>
  <c r="G27" i="12"/>
  <c r="E11" i="12"/>
  <c r="G8" i="12"/>
  <c r="G11" i="3"/>
  <c r="A18" i="53"/>
  <c r="G28" i="12" l="1"/>
  <c r="H29" i="62" s="1"/>
  <c r="G37" i="12"/>
  <c r="H31" i="62" s="1"/>
  <c r="G20" i="12"/>
  <c r="L27" i="62"/>
  <c r="G11" i="12"/>
  <c r="L25" i="62"/>
  <c r="E20" i="12"/>
  <c r="E29" i="12"/>
  <c r="G26" i="12"/>
  <c r="A19" i="53"/>
  <c r="C11" i="3"/>
  <c r="E27" i="62" l="1"/>
  <c r="E25" i="62"/>
  <c r="G29" i="12"/>
  <c r="L29" i="62"/>
  <c r="E38" i="12"/>
  <c r="G35" i="12"/>
  <c r="C20" i="53"/>
  <c r="H11" i="3"/>
  <c r="A20" i="53"/>
  <c r="A21" i="53" l="1"/>
  <c r="A24" i="53" s="1"/>
  <c r="C33" i="53" s="1"/>
  <c r="E29" i="62"/>
  <c r="L31" i="62"/>
  <c r="G38" i="12"/>
  <c r="K58" i="53"/>
  <c r="G26" i="53"/>
  <c r="A61" i="53"/>
  <c r="A135" i="53"/>
  <c r="D32" i="3" l="1"/>
  <c r="A25" i="53"/>
  <c r="C34" i="53" s="1"/>
  <c r="E31" i="62"/>
  <c r="K132" i="53"/>
  <c r="A26" i="53" l="1"/>
  <c r="C35" i="53" s="1"/>
  <c r="E32" i="3"/>
  <c r="K32" i="3" s="1"/>
  <c r="A27" i="53"/>
  <c r="C36" i="53" s="1"/>
  <c r="F32" i="3"/>
  <c r="L32" i="3" l="1"/>
  <c r="N32" i="3"/>
  <c r="M32" i="3"/>
  <c r="I32" i="3"/>
  <c r="J32" i="3"/>
  <c r="A28" i="53"/>
  <c r="C37" i="53" s="1"/>
  <c r="G32" i="3"/>
  <c r="C32" i="3" l="1"/>
  <c r="A29" i="53"/>
  <c r="C38" i="53" s="1"/>
  <c r="C30" i="53" l="1"/>
  <c r="A30" i="53"/>
  <c r="A33" i="53" s="1"/>
  <c r="H32" i="3"/>
  <c r="A34" i="53" l="1"/>
  <c r="A35" i="53" s="1"/>
  <c r="A36" i="53" s="1"/>
  <c r="A37" i="53" l="1"/>
  <c r="J21" i="62"/>
  <c r="A38" i="53" l="1"/>
  <c r="K21" i="62"/>
  <c r="A39" i="53" l="1"/>
  <c r="L21" i="62"/>
  <c r="C39" i="53"/>
  <c r="A42" i="53" l="1"/>
  <c r="M21" i="62" l="1"/>
  <c r="A43" i="53"/>
  <c r="A44" i="53" l="1"/>
  <c r="A46" i="53" l="1"/>
  <c r="A49" i="53" l="1"/>
  <c r="A50" i="53" s="1"/>
  <c r="E53" i="3" s="1"/>
  <c r="C53" i="3"/>
  <c r="D53" i="3" s="1"/>
  <c r="A51" i="53" l="1"/>
  <c r="F53" i="3" s="1"/>
  <c r="A52" i="53" l="1"/>
  <c r="A53" i="53" s="1"/>
  <c r="G53" i="3" l="1"/>
  <c r="A54" i="53" l="1"/>
  <c r="C56" i="53" s="1"/>
  <c r="C54" i="53"/>
  <c r="P21" i="62" l="1"/>
  <c r="A56" i="53"/>
  <c r="A68" i="53" s="1"/>
  <c r="A69" i="53" l="1"/>
  <c r="A70" i="53"/>
  <c r="A71" i="53" s="1"/>
  <c r="A72" i="53" s="1"/>
  <c r="C71" i="53"/>
  <c r="A73" i="53" l="1"/>
  <c r="A74" i="53" s="1"/>
  <c r="A75" i="53" s="1"/>
  <c r="A76" i="53" l="1"/>
  <c r="A77" i="53" s="1"/>
  <c r="C80" i="53"/>
  <c r="A78" i="53"/>
  <c r="A79" i="53" s="1"/>
  <c r="A80" i="53" s="1"/>
  <c r="A81" i="53" l="1"/>
  <c r="C81" i="53"/>
  <c r="C49" i="53"/>
  <c r="A84" i="53"/>
  <c r="A85" i="53" l="1"/>
  <c r="A86" i="53" s="1"/>
  <c r="F46" i="3" l="1"/>
  <c r="D26" i="53" s="1"/>
  <c r="E46" i="3"/>
  <c r="D25" i="53" s="1"/>
  <c r="B44" i="3"/>
  <c r="B65" i="3" s="1"/>
  <c r="B43" i="3"/>
  <c r="B64" i="3" s="1"/>
  <c r="B42" i="3"/>
  <c r="B63" i="3" s="1"/>
  <c r="B41" i="3"/>
  <c r="B62" i="3" s="1"/>
  <c r="B40" i="3"/>
  <c r="B61" i="3" s="1"/>
  <c r="B39" i="3"/>
  <c r="B60" i="3" s="1"/>
  <c r="B38" i="3"/>
  <c r="B59" i="3" s="1"/>
  <c r="B37" i="3"/>
  <c r="B58" i="3" s="1"/>
  <c r="B36" i="3"/>
  <c r="B57" i="3" s="1"/>
  <c r="B35" i="3"/>
  <c r="B56" i="3" s="1"/>
  <c r="C67" i="3"/>
  <c r="F25" i="3"/>
  <c r="D16" i="53" s="1"/>
  <c r="A91" i="53" l="1"/>
  <c r="A92" i="53" s="1"/>
  <c r="A93" i="53" s="1"/>
  <c r="A94" i="53" s="1"/>
  <c r="D35" i="53"/>
  <c r="D46" i="53"/>
  <c r="B45" i="3"/>
  <c r="B66" i="3" s="1"/>
  <c r="B34" i="3"/>
  <c r="B55" i="3" s="1"/>
  <c r="B33" i="3"/>
  <c r="B54" i="3" s="1"/>
  <c r="A95" i="53" l="1"/>
  <c r="A96" i="53" s="1"/>
  <c r="A97" i="53" l="1"/>
  <c r="A100" i="53" s="1"/>
  <c r="A101" i="53" s="1"/>
  <c r="A102" i="53" s="1"/>
  <c r="A103" i="53" s="1"/>
  <c r="C97" i="53"/>
  <c r="A104" i="53" l="1"/>
  <c r="C107" i="53"/>
  <c r="E25" i="3"/>
  <c r="D15" i="53" s="1"/>
  <c r="C46" i="3"/>
  <c r="D28" i="53" s="1"/>
  <c r="C25" i="3"/>
  <c r="D18" i="53" s="1"/>
  <c r="C108" i="53" l="1"/>
  <c r="A105" i="53"/>
  <c r="D142" i="53"/>
  <c r="D34" i="53"/>
  <c r="D37" i="53"/>
  <c r="D25" i="3"/>
  <c r="D14" i="53" s="1"/>
  <c r="D46" i="3"/>
  <c r="D24" i="53" s="1"/>
  <c r="C109" i="53" l="1"/>
  <c r="A106" i="53"/>
  <c r="D144" i="53"/>
  <c r="D33" i="53"/>
  <c r="G71" i="53" l="1"/>
  <c r="I71" i="53" s="1"/>
  <c r="D155" i="53"/>
  <c r="A107" i="53"/>
  <c r="A108" i="53" s="1"/>
  <c r="A109" i="53" s="1"/>
  <c r="A110" i="53" s="1"/>
  <c r="A113" i="53" s="1"/>
  <c r="A114" i="53" s="1"/>
  <c r="A115" i="53" s="1"/>
  <c r="G50" i="53"/>
  <c r="G78" i="53"/>
  <c r="I78" i="53" s="1"/>
  <c r="D30" i="53"/>
  <c r="D20" i="53"/>
  <c r="D21" i="53" s="1"/>
  <c r="D54" i="53"/>
  <c r="D157" i="53" l="1"/>
  <c r="D156" i="53"/>
  <c r="C106" i="53"/>
  <c r="C115" i="53"/>
  <c r="C110" i="53"/>
  <c r="A118" i="53"/>
  <c r="C118" i="53"/>
  <c r="D39" i="53"/>
  <c r="I39" i="58" l="1"/>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5" i="53"/>
  <c r="I85" i="53" s="1"/>
  <c r="P12" i="57"/>
  <c r="Q12" i="57" s="1"/>
  <c r="R12" i="57" s="1"/>
  <c r="P23" i="57"/>
  <c r="Q23" i="57" s="1"/>
  <c r="R23" i="57" s="1"/>
  <c r="P14" i="57"/>
  <c r="Q14" i="57" s="1"/>
  <c r="R14" i="57" s="1"/>
  <c r="G77" i="53"/>
  <c r="I41" i="58"/>
  <c r="K41" i="58" s="1"/>
  <c r="I37" i="58"/>
  <c r="K37" i="58" s="1"/>
  <c r="I36" i="58"/>
  <c r="K36" i="58" s="1"/>
  <c r="P18" i="57"/>
  <c r="Q18" i="57" s="1"/>
  <c r="R18" i="57" s="1"/>
  <c r="P19" i="57"/>
  <c r="Q19" i="57" s="1"/>
  <c r="R19" i="57" s="1"/>
  <c r="P13" i="57"/>
  <c r="Q13" i="57" s="1"/>
  <c r="R13" i="57" s="1"/>
  <c r="G86" i="53"/>
  <c r="I38" i="58"/>
  <c r="K38" i="58" s="1"/>
  <c r="I42" i="58"/>
  <c r="K42" i="58" s="1"/>
  <c r="I45" i="58"/>
  <c r="K45" i="58" s="1"/>
  <c r="P21" i="57"/>
  <c r="Q21" i="57" s="1"/>
  <c r="R21" i="57" s="1"/>
  <c r="G18" i="53"/>
  <c r="A120" i="53"/>
  <c r="A122" i="53" s="1"/>
  <c r="I50" i="53"/>
  <c r="G28" i="53" l="1"/>
  <c r="I28" i="53" s="1"/>
  <c r="I18" i="53"/>
  <c r="R24" i="57"/>
  <c r="C122" i="53"/>
  <c r="A124" i="53"/>
  <c r="A126" i="53" s="1"/>
  <c r="A128" i="53" s="1"/>
  <c r="A141" i="53" s="1"/>
  <c r="A142" i="53" s="1"/>
  <c r="I77" i="53"/>
  <c r="I86" i="53"/>
  <c r="I17" i="53"/>
  <c r="I37" i="53" l="1"/>
  <c r="K20" i="62" s="1"/>
  <c r="C128" i="53"/>
  <c r="C145" i="53"/>
  <c r="A143" i="53"/>
  <c r="C144" i="53" s="1"/>
  <c r="I27" i="53"/>
  <c r="I36" i="53" s="1"/>
  <c r="J20" i="62" s="1"/>
  <c r="K10" i="62" l="1"/>
  <c r="K16" i="62"/>
  <c r="K12" i="62"/>
  <c r="K14" i="62"/>
  <c r="A144" i="53"/>
  <c r="J12" i="62"/>
  <c r="J16" i="62"/>
  <c r="J10" i="62"/>
  <c r="J14" i="62"/>
  <c r="A145" i="53" l="1"/>
  <c r="A148" i="53" s="1"/>
  <c r="A149" i="53" l="1"/>
  <c r="A150" i="53" l="1"/>
  <c r="A151" i="53" s="1"/>
  <c r="A152" i="53" s="1"/>
  <c r="C155" i="53"/>
  <c r="C152" i="53"/>
  <c r="C153" i="53"/>
  <c r="A153" i="53"/>
  <c r="A155" i="53" s="1"/>
  <c r="A156" i="53" l="1"/>
  <c r="A157" i="53" s="1"/>
  <c r="A160" i="53" s="1"/>
  <c r="C156" i="53"/>
  <c r="C157" i="53"/>
  <c r="C141" i="53" l="1"/>
  <c r="A161" i="53"/>
  <c r="A162" i="53" s="1"/>
  <c r="A163" i="53" s="1"/>
  <c r="A166" i="53" s="1"/>
  <c r="C163" i="53" l="1"/>
  <c r="F162" i="53"/>
  <c r="C11" i="5"/>
  <c r="D101" i="53"/>
  <c r="F11" i="5" l="1"/>
  <c r="I105" i="53" s="1"/>
  <c r="I109" i="53" s="1"/>
  <c r="A168" i="53"/>
  <c r="A170" i="53" s="1"/>
  <c r="C120" i="53" s="1"/>
  <c r="I108" i="53"/>
  <c r="I107" i="53"/>
  <c r="C31" i="4" l="1"/>
  <c r="C32" i="4"/>
  <c r="C33" i="4"/>
  <c r="C38" i="4"/>
  <c r="F42" i="4"/>
  <c r="E10" i="4" s="1"/>
  <c r="E13" i="4" s="1"/>
  <c r="C34" i="4" l="1"/>
  <c r="C35" i="4"/>
  <c r="C36" i="4"/>
  <c r="G42" i="4"/>
  <c r="F10" i="4" s="1"/>
  <c r="F13" i="4" s="1"/>
  <c r="F16" i="4" s="1"/>
  <c r="F18" i="4" l="1"/>
  <c r="C37" i="4" l="1"/>
  <c r="C39" i="4"/>
  <c r="C41" i="4"/>
  <c r="D42" i="4"/>
  <c r="C40" i="4"/>
  <c r="C42" i="4" l="1"/>
  <c r="D12" i="56" l="1"/>
  <c r="D15" i="56"/>
  <c r="D163" i="53"/>
  <c r="G161" i="53" s="1"/>
  <c r="D141" i="53"/>
  <c r="D145" i="53" s="1"/>
  <c r="G19" i="53" l="1"/>
  <c r="G91" i="53"/>
  <c r="I91" i="53" s="1"/>
  <c r="G53" i="53"/>
  <c r="I53" i="53" s="1"/>
  <c r="G29" i="53" l="1"/>
  <c r="I29" i="53" s="1"/>
  <c r="I30" i="53" s="1"/>
  <c r="I19" i="53"/>
  <c r="I20" i="53" l="1"/>
  <c r="I38" i="53"/>
  <c r="I39" i="53" l="1"/>
  <c r="L20" i="62"/>
  <c r="G20" i="53"/>
  <c r="I21" i="53"/>
  <c r="G21" i="53" s="1"/>
  <c r="G94" i="53" l="1"/>
  <c r="I94" i="53" s="1"/>
  <c r="G80" i="53"/>
  <c r="I80" i="53" s="1"/>
  <c r="I49" i="53" s="1"/>
  <c r="G52" i="53"/>
  <c r="I52" i="53" s="1"/>
  <c r="G51" i="53"/>
  <c r="I51" i="53" s="1"/>
  <c r="G93" i="53"/>
  <c r="I93" i="53" s="1"/>
  <c r="I97"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O28" i="58" l="1"/>
  <c r="L28" i="58"/>
  <c r="N28" i="58" s="1"/>
  <c r="O20" i="58"/>
  <c r="L20" i="58"/>
  <c r="M20" i="58" s="1"/>
  <c r="L17" i="58"/>
  <c r="K29" i="58"/>
  <c r="O17" i="58"/>
  <c r="N17" i="58"/>
  <c r="M17" i="58"/>
  <c r="L25" i="58"/>
  <c r="N25" i="58" s="1"/>
  <c r="O25" i="58"/>
  <c r="O18" i="58"/>
  <c r="L18" i="58"/>
  <c r="N18" i="58" s="1"/>
  <c r="H15" i="56"/>
  <c r="E17" i="4"/>
  <c r="L24" i="58"/>
  <c r="N24" i="58" s="1"/>
  <c r="O24" i="58"/>
  <c r="M24" i="58"/>
  <c r="S12" i="57"/>
  <c r="N24" i="57"/>
  <c r="O21" i="58"/>
  <c r="L21" i="58"/>
  <c r="M21" i="58" s="1"/>
  <c r="L23" i="58"/>
  <c r="N23" i="58" s="1"/>
  <c r="O23" i="58"/>
  <c r="I54" i="53"/>
  <c r="O27" i="58"/>
  <c r="L27" i="58"/>
  <c r="M27" i="58" s="1"/>
  <c r="O26" i="58"/>
  <c r="L26" i="58"/>
  <c r="M26" i="58" s="1"/>
  <c r="O22" i="58"/>
  <c r="L22" i="58"/>
  <c r="N22" i="58" s="1"/>
  <c r="O19" i="58"/>
  <c r="L19" i="58"/>
  <c r="N19" i="58" s="1"/>
  <c r="M25" i="58" l="1"/>
  <c r="M23" i="58"/>
  <c r="M19" i="58"/>
  <c r="M18" i="58"/>
  <c r="N20" i="58"/>
  <c r="O29" i="58"/>
  <c r="N21" i="58"/>
  <c r="N26" i="58"/>
  <c r="M28" i="58"/>
  <c r="N27" i="58"/>
  <c r="P20" i="62"/>
  <c r="P17" i="58"/>
  <c r="P18" i="58" s="1"/>
  <c r="P19" i="58" s="1"/>
  <c r="L29" i="58"/>
  <c r="E18" i="4"/>
  <c r="M22" i="58"/>
  <c r="M29" i="58" s="1"/>
  <c r="P20" i="58" l="1"/>
  <c r="P21" i="58" s="1"/>
  <c r="P22" i="58" s="1"/>
  <c r="P23" i="58" s="1"/>
  <c r="P24" i="58" s="1"/>
  <c r="P25" i="58" s="1"/>
  <c r="P26" i="58" s="1"/>
  <c r="P27" i="58" s="1"/>
  <c r="P28" i="58" s="1"/>
  <c r="N29" i="58"/>
  <c r="P12" i="62"/>
  <c r="P16" i="62"/>
  <c r="P14" i="62"/>
  <c r="P10" i="62"/>
  <c r="E51" i="56" l="1"/>
  <c r="C51" i="56" l="1"/>
  <c r="C56" i="56" s="1"/>
  <c r="E56" i="56"/>
  <c r="D17" i="4" s="1"/>
  <c r="J11" i="57"/>
  <c r="I24" i="57"/>
  <c r="H17" i="4" l="1"/>
  <c r="H24" i="57"/>
  <c r="J24" i="57"/>
  <c r="S24" i="57" s="1"/>
  <c r="S11" i="57"/>
  <c r="H19" i="4" l="1"/>
  <c r="C57" i="4" l="1"/>
  <c r="C62" i="4" s="1"/>
  <c r="E62" i="4"/>
  <c r="D13" i="4" s="1"/>
  <c r="D16" i="4" s="1"/>
  <c r="H16" i="4" l="1"/>
  <c r="D18" i="4"/>
  <c r="H18" i="4" s="1"/>
  <c r="H20" i="4" s="1"/>
  <c r="I42" i="53" s="1"/>
  <c r="I44" i="53" l="1"/>
  <c r="I56" i="53" s="1"/>
  <c r="M20" i="62"/>
  <c r="M14" i="62" l="1"/>
  <c r="Q14" i="62" s="1"/>
  <c r="D29" i="62" s="1"/>
  <c r="M10" i="62"/>
  <c r="Q10" i="62" s="1"/>
  <c r="M12" i="62"/>
  <c r="Q12" i="62" s="1"/>
  <c r="D27" i="62" s="1"/>
  <c r="M16" i="62"/>
  <c r="Q16" i="62" s="1"/>
  <c r="D31" i="62" s="1"/>
  <c r="F31" i="62" l="1"/>
  <c r="M31" i="62"/>
  <c r="J31" i="62"/>
  <c r="Q20" i="62"/>
  <c r="D25" i="62"/>
  <c r="M27" i="62"/>
  <c r="F27" i="62"/>
  <c r="J27" i="62"/>
  <c r="F29" i="62"/>
  <c r="M29" i="62"/>
  <c r="J29" i="62"/>
  <c r="F25" i="62" l="1"/>
  <c r="F35" i="62" s="1"/>
  <c r="M25" i="62"/>
  <c r="M35" i="62" s="1"/>
  <c r="I113" i="53" s="1"/>
  <c r="I115" i="53" s="1"/>
  <c r="D35" i="62"/>
  <c r="J25" i="62"/>
  <c r="J35" i="62" s="1"/>
  <c r="I114" i="53" s="1"/>
  <c r="I106" i="53" s="1"/>
  <c r="I110" i="53" s="1"/>
  <c r="I118" i="53" l="1"/>
  <c r="I122" i="53" s="1"/>
  <c r="I128" i="53" s="1"/>
</calcChain>
</file>

<file path=xl/sharedStrings.xml><?xml version="1.0" encoding="utf-8"?>
<sst xmlns="http://schemas.openxmlformats.org/spreadsheetml/2006/main" count="1211" uniqueCount="661">
  <si>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</si>
  <si>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</si>
  <si>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</si>
  <si>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</si>
  <si>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</si>
  <si>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</si>
  <si>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</si>
  <si>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</si>
  <si>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</si>
  <si>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</si>
  <si>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</si>
  <si>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</si>
  <si>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</si>
  <si>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</si>
  <si>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</si>
  <si>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</si>
  <si>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</si>
  <si>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</si>
  <si>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</si>
  <si>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</si>
  <si>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</si>
  <si>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</si>
  <si>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</si>
  <si>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</si>
  <si>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</si>
  <si>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</si>
  <si>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</si>
  <si>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</si>
  <si>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</si>
  <si>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</si>
  <si>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</si>
  <si>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</si>
  <si>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</si>
  <si>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</si>
  <si>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</si>
  <si>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</si>
  <si>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</si>
  <si>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</si>
  <si>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</si>
  <si>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</si>
  <si>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</si>
  <si>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</si>
  <si>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</si>
  <si>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</si>
  <si>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</si>
  <si>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</si>
  <si>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</si>
  <si>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</si>
  <si>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</si>
  <si>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</si>
  <si>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</si>
  <si>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</si>
  <si>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</si>
  <si>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</si>
  <si>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</si>
  <si>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</si>
  <si>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</si>
  <si>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</si>
  <si>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</si>
  <si>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</si>
  <si>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</si>
  <si>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</si>
  <si>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</si>
  <si>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</si>
  <si>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</si>
  <si>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</si>
  <si>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</si>
  <si>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</si>
  <si>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</si>
  <si>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</si>
  <si>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</si>
  <si>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</si>
  <si>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</si>
  <si>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</si>
  <si>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</si>
  <si>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</si>
  <si>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</si>
  <si>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</si>
  <si>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</si>
  <si>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</si>
  <si>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</si>
  <si>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</si>
  <si>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</si>
  <si>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</si>
  <si>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</si>
  <si>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</si>
  <si>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</si>
  <si>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</si>
  <si>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</si>
  <si>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</si>
  <si>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</si>
  <si>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</si>
  <si>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</si>
  <si>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</si>
  <si>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</si>
  <si>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</si>
  <si>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</si>
  <si>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</si>
  <si>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</si>
  <si>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</si>
  <si>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</si>
  <si>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</si>
  <si>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</si>
  <si>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</si>
  <si>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</si>
  <si>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</si>
  <si>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</si>
  <si>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</si>
  <si>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</si>
  <si>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</si>
  <si>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</si>
  <si>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</si>
  <si>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</si>
  <si>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</si>
  <si>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</si>
  <si>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</si>
  <si>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</si>
  <si>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</si>
  <si>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</si>
  <si>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</si>
  <si>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</si>
  <si>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</si>
  <si>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</si>
  <si>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</si>
  <si>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</si>
  <si>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</si>
  <si>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</si>
  <si>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</si>
  <si>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</si>
  <si>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</si>
  <si>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</si>
  <si>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</si>
  <si>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</si>
  <si>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</si>
  <si>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</si>
  <si>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</si>
  <si>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</si>
  <si>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</si>
  <si>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</si>
  <si>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</si>
  <si>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</si>
  <si>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</si>
  <si>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</si>
  <si>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</si>
  <si>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</si>
  <si>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</si>
  <si>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</si>
  <si>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</si>
  <si>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</si>
  <si>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</si>
  <si>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</si>
  <si>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</si>
  <si>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</si>
  <si>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</si>
  <si>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</si>
  <si>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</si>
  <si>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</si>
  <si>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</si>
  <si>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</si>
  <si>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</si>
  <si>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</si>
  <si>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</si>
  <si>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</si>
  <si>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</si>
  <si>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</si>
  <si>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</si>
  <si>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</si>
  <si>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</si>
  <si>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</si>
  <si>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</si>
  <si>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</si>
  <si>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</si>
  <si>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</si>
  <si>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</si>
  <si>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</si>
  <si>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</si>
  <si>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</si>
  <si>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</si>
  <si>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</si>
  <si>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</si>
  <si>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</si>
  <si>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</si>
  <si>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</si>
  <si>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</si>
  <si>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</si>
  <si>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</si>
  <si>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</si>
  <si>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</si>
  <si>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</si>
  <si>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</si>
  <si>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</si>
  <si>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</si>
  <si>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</si>
  <si>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</si>
  <si>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</si>
  <si>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</si>
  <si>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</si>
  <si>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</si>
  <si>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</si>
  <si>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</si>
  <si>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</si>
  <si>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</si>
  <si>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</si>
  <si>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</si>
  <si>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</si>
  <si>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</si>
  <si>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</si>
  <si>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</si>
  <si>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</si>
  <si>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</si>
  <si>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</si>
  <si>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</si>
  <si>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</si>
  <si>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</si>
  <si>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</si>
  <si>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</si>
  <si>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</si>
  <si>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</si>
  <si>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</si>
  <si>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</si>
  <si>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</si>
  <si>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</si>
  <si>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</si>
  <si>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</si>
  <si>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</si>
  <si>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</si>
  <si>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</si>
  <si>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</si>
  <si>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</si>
  <si>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</si>
  <si>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</si>
  <si>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</si>
  <si>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</si>
  <si>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</si>
  <si>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</si>
  <si>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</si>
  <si>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</si>
  <si>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</si>
  <si>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</si>
  <si>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</si>
  <si>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</si>
  <si>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</si>
  <si>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</si>
  <si>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</si>
  <si>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</si>
  <si>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</si>
  <si>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</si>
  <si>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</si>
  <si>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</si>
  <si>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</si>
  <si>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</si>
  <si>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</si>
  <si>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</si>
  <si>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</si>
  <si>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</si>
  <si>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</si>
  <si>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</si>
  <si>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</si>
  <si>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</si>
  <si>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</si>
  <si>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</si>
  <si>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</si>
  <si>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</si>
  <si>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</si>
  <si>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</si>
  <si>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</si>
  <si>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</si>
  <si>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</si>
  <si>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</si>
  <si>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</si>
  <si>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</si>
  <si>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</si>
  <si>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</si>
  <si>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</si>
  <si>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</si>
  <si>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</si>
  <si>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</si>
  <si>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</si>
  <si>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</si>
  <si>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</si>
  <si>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</si>
  <si>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</si>
  <si>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</si>
  <si>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</si>
  <si>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</si>
  <si>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</si>
  <si>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</si>
  <si>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</si>
  <si>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</si>
  <si>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</si>
  <si>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</si>
  <si>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</si>
  <si>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</si>
  <si>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</si>
  <si>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</si>
  <si>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</si>
  <si>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</si>
  <si>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</si>
  <si>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</si>
  <si>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</si>
  <si>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</si>
  <si>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</si>
  <si>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</si>
  <si>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</si>
  <si>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</si>
  <si>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</si>
  <si>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</si>
  <si>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</si>
  <si>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</si>
  <si>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</si>
  <si>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</si>
  <si>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</si>
  <si>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</si>
  <si>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</si>
  <si>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</si>
  <si>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</si>
  <si>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</si>
  <si>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</si>
  <si>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</si>
  <si>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</si>
  <si>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</si>
  <si>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</si>
  <si>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</si>
  <si>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</si>
  <si>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</si>
  <si>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</si>
  <si>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</si>
  <si>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</si>
  <si>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</si>
  <si>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</si>
  <si>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</si>
  <si>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</si>
  <si>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</si>
  <si>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</si>
  <si>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</si>
  <si>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</si>
  <si>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</si>
  <si>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</si>
  <si>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</si>
  <si>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</si>
  <si>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</si>
  <si>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</si>
  <si>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</si>
  <si>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</si>
  <si>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</si>
  <si>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</si>
  <si>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</si>
  <si>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</si>
  <si>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</si>
  <si>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</si>
  <si>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</si>
  <si>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</si>
  <si>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</si>
  <si>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</si>
  <si>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</si>
  <si>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</si>
  <si>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</si>
  <si>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</si>
  <si>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</si>
  <si>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</si>
  <si>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</si>
  <si>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</si>
  <si>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</si>
  <si>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</si>
  <si>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</si>
  <si>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</si>
  <si>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</si>
  <si>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</si>
  <si>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</si>
  <si>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</si>
  <si>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</si>
  <si>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</si>
  <si>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</si>
  <si>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</si>
  <si>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</si>
  <si>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</si>
  <si>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</si>
  <si>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</si>
  <si>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</si>
  <si>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OTHER RATE BASE ITEMS</t>
  </si>
  <si>
    <t>TOTAL OTHER RATE BASE ITEMS</t>
  </si>
  <si>
    <t xml:space="preserve">  Cash Working Capital</t>
  </si>
  <si>
    <t>TOTAL ACCUMULATED DEFERRED INCOME TAXES</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</si>
  <si>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</si>
  <si>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</si>
  <si>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</si>
  <si>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</si>
  <si>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</si>
  <si>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</si>
  <si>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</si>
  <si>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</si>
  <si>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</si>
  <si>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</si>
  <si>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</si>
  <si>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</si>
  <si>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</si>
  <si>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</si>
  <si>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</si>
  <si>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</si>
  <si>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</si>
  <si>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</si>
  <si>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</si>
  <si>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</si>
  <si>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</si>
  <si>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</si>
  <si>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</si>
  <si>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</si>
  <si>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</si>
  <si>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</si>
  <si>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</si>
  <si>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</si>
  <si>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350-351 fn</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</si>
  <si>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</si>
  <si>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</si>
  <si>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</si>
  <si>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</si>
  <si>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</si>
  <si>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</si>
  <si>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</si>
  <si>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</si>
  <si>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</si>
  <si>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</si>
  <si>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</si>
  <si>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</si>
  <si>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</si>
  <si>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</si>
  <si>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</si>
  <si>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</si>
  <si>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</si>
  <si>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</si>
  <si>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</si>
  <si>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</si>
  <si>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</si>
  <si>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</si>
  <si>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</si>
  <si>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</si>
  <si>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</si>
  <si>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</si>
  <si>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</si>
  <si>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</si>
  <si>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</si>
  <si>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</si>
  <si>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</si>
  <si>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</si>
  <si>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</si>
  <si>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</si>
  <si>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</si>
  <si>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</si>
  <si>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</si>
  <si>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</si>
  <si>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</si>
  <si>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</si>
  <si>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</si>
  <si>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</si>
  <si>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</si>
  <si>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</si>
  <si>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</si>
  <si>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</si>
  <si>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</si>
  <si>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</si>
  <si>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</si>
  <si>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</si>
  <si>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</si>
  <si>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</si>
  <si>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</si>
  <si>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</si>
  <si>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</si>
  <si>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</si>
  <si>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</si>
  <si>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</si>
  <si>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</si>
  <si>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</si>
  <si>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</si>
  <si>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</si>
  <si>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</si>
  <si>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</si>
  <si>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</si>
  <si>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</si>
  <si>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</si>
  <si>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</si>
  <si>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</si>
  <si>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</si>
  <si>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</si>
  <si>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</si>
  <si>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214,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</si>
  <si>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</si>
  <si>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</si>
  <si>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</si>
  <si>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</si>
  <si>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</si>
  <si>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</si>
  <si>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</si>
  <si>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</si>
  <si>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</si>
  <si>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</si>
  <si>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</si>
  <si>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</si>
  <si>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</si>
  <si>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</si>
  <si>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</si>
  <si>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</si>
  <si>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</si>
  <si>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</si>
  <si>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</si>
  <si>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</si>
  <si>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</si>
  <si>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</si>
  <si>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</si>
  <si>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</si>
  <si>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</si>
  <si>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</si>
  <si>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</si>
  <si>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</si>
  <si>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</si>
  <si>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</si>
  <si>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</si>
  <si>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</si>
  <si>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</si>
  <si>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</si>
  <si>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</si>
  <si>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</si>
  <si>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</si>
  <si>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</si>
  <si>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</si>
  <si>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</si>
  <si>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Total (d) * (e)</t>
  </si>
  <si>
    <t>Total (g) * (h)</t>
  </si>
  <si>
    <t>Grand Total (b) + (f) + (i)</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</si>
  <si>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</si>
  <si>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</si>
  <si>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</si>
  <si>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</si>
  <si>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</si>
  <si>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</si>
  <si>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</si>
  <si>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</si>
  <si>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</si>
  <si>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</si>
  <si>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</si>
  <si>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</si>
  <si>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</si>
  <si>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</si>
  <si>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</si>
  <si>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</si>
  <si>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</si>
  <si>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</si>
  <si>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</si>
  <si>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</si>
  <si>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</si>
  <si>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</si>
  <si>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</si>
  <si>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</si>
  <si>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</si>
  <si>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</si>
  <si>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</si>
  <si>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</si>
  <si>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</si>
  <si>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</si>
  <si>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</si>
  <si>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</si>
  <si>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</si>
  <si>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</si>
  <si>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</si>
  <si>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</si>
  <si>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</si>
  <si>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</si>
  <si>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</si>
  <si>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</si>
  <si>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</si>
  <si>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</si>
  <si>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</si>
  <si>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</si>
  <si>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</si>
  <si>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</si>
  <si>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</si>
  <si>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</si>
  <si>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</si>
  <si>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</si>
  <si>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</si>
  <si>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</si>
  <si>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</si>
  <si>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</si>
  <si>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</si>
  <si>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</si>
  <si>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</si>
  <si>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</si>
  <si>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</si>
  <si>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</si>
  <si>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</si>
  <si>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</si>
  <si>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</si>
  <si>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</si>
  <si>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</si>
  <si>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</si>
  <si>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</si>
  <si>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</si>
  <si>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</si>
  <si>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</si>
  <si>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</si>
  <si>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</si>
  <si>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</si>
  <si>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</si>
  <si>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</si>
  <si>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</si>
  <si>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</si>
  <si>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</si>
  <si>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</si>
  <si>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</si>
  <si>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</si>
  <si>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</si>
  <si>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</si>
  <si>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</si>
  <si>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Projected ATRR or Actual ATRR for the 12 Months Ended 12/31/XXXX</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</si>
  <si>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</si>
  <si>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</si>
  <si>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</si>
  <si>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O&amp;M, and  Accumulated Deferred Income Taxes in line 24 and Excess Accumulated Deferred Income Taxes in line 25, which are beginning/ending year averages or prorated amounts).</t>
  </si>
  <si>
    <t>O</t>
  </si>
  <si>
    <t>Workpaper 1:  Average Balances for Most Rate Base Items</t>
  </si>
  <si>
    <t xml:space="preserve">Rate Year = </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</si>
  <si>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</si>
  <si>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</si>
  <si>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</si>
  <si>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</si>
  <si>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</si>
  <si>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</si>
  <si>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</si>
  <si>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 xml:space="preserve">         Other</t>
  </si>
  <si>
    <t>ACCUMULATED DEFERRED INCOME TAXES  (Note B)</t>
  </si>
  <si>
    <t>Schedule 19 Projects Included in Each Project Group</t>
  </si>
  <si>
    <t xml:space="preserve">ROE per New York State Public Service Commission, Case No. </t>
  </si>
  <si>
    <t xml:space="preserve">EDP Equipment – Systems and Mainframe </t>
  </si>
  <si>
    <t xml:space="preserve">EDP Equipment – Systems Operation – SCADA </t>
  </si>
  <si>
    <t>Data Handling Equipment</t>
  </si>
  <si>
    <t>391-11</t>
  </si>
  <si>
    <t>391-12</t>
  </si>
  <si>
    <t>391-21</t>
  </si>
  <si>
    <t>397-20</t>
  </si>
  <si>
    <t>Communications Equipment - Radio</t>
  </si>
  <si>
    <t>Interest Rate True-up (Note 1)</t>
  </si>
  <si>
    <t xml:space="preserve">Note 1:  Use Workpaper 7-True-up Adjustment to determine ATU with actual interest rates and include interest rate true-up with a subsequent ATU adjustment.  </t>
  </si>
  <si>
    <t xml:space="preserve">Revised formula rate calculations will be provided to support any corrections. </t>
  </si>
  <si>
    <t>Workpaper 3</t>
  </si>
  <si>
    <t>For future use.</t>
  </si>
  <si>
    <t>Allocate Rate Base Items to Schedule 19 Projects</t>
  </si>
  <si>
    <t>262-263, 17.l + 30.l</t>
  </si>
  <si>
    <t>262-263, 14.l</t>
  </si>
  <si>
    <t>262-263, 24.l</t>
  </si>
  <si>
    <t>Communication Equipment - Telephone</t>
  </si>
  <si>
    <t>397-10</t>
  </si>
  <si>
    <t>Note 3</t>
  </si>
  <si>
    <t xml:space="preserve">Note 3: Intangible Plant rates are not included in the JP. They are calculated straightline over the life of the asset. Ex: 3yr = 33.3% per year, 5yr = 20% per year, 10 yr =10% per year and 15 yr = 6.67% per year. Also note the additions of Cloud Software and Fiber Optics were added after the previous JP. Again these are calculated straightline. Cloud software is 5yr = 20% per year and Fiber Optics is 20yr = 5% per year. </t>
  </si>
  <si>
    <t>Workpaper</t>
  </si>
  <si>
    <t xml:space="preserve">  Plus:  Direct Assigned Regulatory Commission Expenses (Note 3)</t>
  </si>
  <si>
    <t>Workpaper 2a: Accumulated Deferred Income Taxes (ADIT) Workpaper - Current Year</t>
  </si>
  <si>
    <t>Workpaper 2b: Accumulated Deferred Income Taxes (ADIT) Workpaper - Prior Year</t>
  </si>
  <si>
    <t>110-111, l.69, fn</t>
  </si>
  <si>
    <t>110-111, l.81, fn</t>
  </si>
  <si>
    <t xml:space="preserve">Any transmission regulatory expenses allocated to Schedule 19 Projects are determined after deducting any directly assigned regulatory expenses.  </t>
  </si>
  <si>
    <t>ATRR PLUS ATU AND CORRECTIONS (Note O)</t>
  </si>
  <si>
    <t>Schedule 19 Projects are not eligible for any ROE incentive adders.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</si>
</sst>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_(* #,##0.00000_);_(* \(#,##0.00000\);_(* &quot;-&quot;??_);_(@_)"/>
    <numFmt numFmtId="179" formatCode="#,##0.0000000000000"/>
    <numFmt numFmtId="180" formatCode="0.00000%"/>
    <numFmt numFmtId="181" formatCode="[$-409]mmmm\ d\,\ yyyy;@"/>
    <numFmt numFmtId="182" formatCode="_(* #,##0.0000_);_(* \(#,##0.0000\);_(* &quot;-&quot;??_);_(@_)"/>
    <numFmt numFmtId="183" formatCode="_(* #,##0.0_);_(* \(#,##0.0\);_(* &quot;-&quot;??_);_(@_)"/>
  </numFmts>
  <fonts count="63">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indexed="8"/>
      <name val="Calibri"/>
      <family val="2"/>
      <scheme val="minor"/>
    </font>
    <font>
      <sz val="11"/>
      <color indexed="8"/>
      <name val="Times New Roman"/>
      <family val="2"/>
    </font>
    <font>
      <sz val="12"/>
      <color indexed="8"/>
      <name val="Arial"/>
      <family val="2"/>
    </font>
    <font>
      <sz val="11"/>
      <color indexed="9"/>
      <name val="Calibri"/>
      <family val="2"/>
      <scheme val="minor"/>
    </font>
    <font>
      <b/>
      <sz val="11"/>
      <color indexed="9"/>
      <name val="Calibri"/>
      <family val="2"/>
      <scheme val="minor"/>
    </font>
    <font>
      <sz val="18"/>
      <color theme="3"/>
      <name val="Calibri Light"/>
      <family val="2"/>
    </font>
    <font>
      <b/>
      <sz val="11"/>
      <color indexed="8"/>
      <name val="Calibri"/>
      <family val="2"/>
      <scheme val="minor"/>
    </font>
    <font>
      <sz val="11"/>
      <color indexed="10"/>
      <name val="Calibri"/>
      <family val="2"/>
      <scheme val="minor"/>
    </font>
  </fonts>
  <fills count="3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4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s>
  <cellStyleXfs count="105">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0" fontId="44" fillId="0" borderId="40" applyNumberFormat="0" applyFill="0" applyAlignment="0" applyProtection="0"/>
    <xf numFmtId="0" fontId="46" fillId="0" borderId="41" applyNumberFormat="0" applyFill="0" applyAlignment="0" applyProtection="0"/>
    <xf numFmtId="0" fontId="46" fillId="0" borderId="0" applyNumberFormat="0" applyFill="0" applyBorder="0" applyAlignment="0" applyProtection="0"/>
    <xf numFmtId="0" fontId="53" fillId="0" borderId="44" applyNumberFormat="0" applyFill="0" applyAlignment="0" applyProtection="0"/>
    <xf numFmtId="0" fontId="54" fillId="0" borderId="0" applyNumberFormat="0" applyFill="0" applyBorder="0" applyAlignment="0" applyProtection="0"/>
    <xf numFmtId="0" fontId="55" fillId="0" borderId="0"/>
    <xf numFmtId="0" fontId="55" fillId="7" borderId="0" applyNumberFormat="0" applyBorder="0" applyAlignment="0" applyProtection="0"/>
    <xf numFmtId="0" fontId="55" fillId="8"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1"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48" fillId="31" borderId="0" applyNumberFormat="0" applyBorder="0" applyAlignment="0" applyProtection="0"/>
    <xf numFmtId="0" fontId="52" fillId="32" borderId="42" applyNumberFormat="0" applyAlignment="0" applyProtection="0"/>
    <xf numFmtId="0" fontId="59" fillId="33" borderId="45" applyNumberFormat="0" applyAlignment="0" applyProtection="0"/>
    <xf numFmtId="41" fontId="55" fillId="0" borderId="0" applyFill="0" applyBorder="0" applyAlignment="0" applyProtection="0"/>
    <xf numFmtId="43" fontId="55" fillId="0" borderId="0" applyFill="0" applyBorder="0" applyAlignment="0" applyProtection="0"/>
    <xf numFmtId="43" fontId="55" fillId="0" borderId="0" applyFill="0" applyBorder="0" applyAlignment="0" applyProtection="0"/>
    <xf numFmtId="43" fontId="55" fillId="0" borderId="0" applyFill="0" applyBorder="0" applyAlignment="0" applyProtection="0"/>
    <xf numFmtId="0" fontId="47" fillId="34" borderId="0" applyNumberFormat="0" applyBorder="0" applyAlignment="0" applyProtection="0"/>
    <xf numFmtId="0" fontId="45" fillId="0" borderId="48" applyNumberFormat="0" applyFill="0" applyAlignment="0" applyProtection="0"/>
    <xf numFmtId="0" fontId="50" fillId="6" borderId="42" applyNumberFormat="0" applyAlignment="0" applyProtection="0"/>
    <xf numFmtId="0" fontId="49" fillId="35" borderId="0" applyNumberFormat="0" applyBorder="0" applyAlignment="0" applyProtection="0"/>
    <xf numFmtId="0" fontId="55" fillId="0" borderId="0"/>
    <xf numFmtId="0" fontId="56" fillId="0" borderId="0"/>
    <xf numFmtId="0" fontId="55" fillId="0" borderId="0"/>
    <xf numFmtId="0" fontId="55" fillId="0" borderId="0"/>
    <xf numFmtId="0" fontId="55" fillId="0" borderId="0"/>
    <xf numFmtId="0" fontId="2" fillId="0" borderId="0"/>
    <xf numFmtId="0" fontId="2" fillId="0" borderId="0"/>
    <xf numFmtId="0" fontId="55" fillId="0" borderId="0"/>
    <xf numFmtId="0" fontId="55" fillId="0" borderId="0"/>
    <xf numFmtId="0" fontId="55" fillId="0" borderId="0"/>
    <xf numFmtId="0" fontId="2" fillId="0" borderId="0"/>
    <xf numFmtId="0" fontId="55" fillId="5" borderId="46" applyNumberFormat="0" applyAlignment="0" applyProtection="0"/>
    <xf numFmtId="0" fontId="51" fillId="32" borderId="43" applyNumberFormat="0" applyAlignment="0" applyProtection="0"/>
    <xf numFmtId="9" fontId="55" fillId="0" borderId="0" applyFill="0" applyBorder="0" applyAlignment="0" applyProtection="0"/>
    <xf numFmtId="9" fontId="2" fillId="0" borderId="0" applyFont="0" applyFill="0" applyBorder="0" applyAlignment="0" applyProtection="0"/>
    <xf numFmtId="0" fontId="60" fillId="0" borderId="0" applyNumberFormat="0" applyFill="0" applyBorder="0" applyAlignment="0" applyProtection="0"/>
    <xf numFmtId="0" fontId="61" fillId="0" borderId="47" applyNumberFormat="0" applyFill="0" applyAlignment="0" applyProtection="0"/>
    <xf numFmtId="0" fontId="62" fillId="0" borderId="0" applyNumberFormat="0" applyFill="0" applyBorder="0" applyAlignment="0" applyProtection="0"/>
  </cellStyleXfs>
  <cellXfs count="704">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74" fontId="2" fillId="0" borderId="0" xfId="12" applyNumberFormat="1" applyFont="1" applyFill="1" applyBorder="1"/>
    <xf numFmtId="174" fontId="0" fillId="0" borderId="0" xfId="12"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8" fontId="18" fillId="0" borderId="0" xfId="1" applyNumberFormat="1" applyFont="1" applyBorder="1"/>
    <xf numFmtId="0" fontId="18" fillId="0" borderId="0" xfId="0" applyFont="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79" fontId="10" fillId="0" borderId="0" xfId="36" applyNumberFormat="1" applyFont="1" applyAlignment="1">
      <alignment horizontal="center"/>
    </xf>
    <xf numFmtId="169" fontId="10" fillId="0" borderId="0" xfId="36" applyNumberFormat="1" applyFont="1" applyAlignment="1">
      <alignment horizontal="center"/>
    </xf>
    <xf numFmtId="0" fontId="2" fillId="0" borderId="0" xfId="36" applyAlignment="1">
      <alignment horizontal="left"/>
    </xf>
    <xf numFmtId="180" fontId="10" fillId="0" borderId="0" xfId="21" applyNumberFormat="1" applyFont="1"/>
    <xf numFmtId="0" fontId="10" fillId="0" borderId="3" xfId="36" applyFont="1" applyBorder="1" applyAlignment="1">
      <alignment horizontal="center" wrapText="1"/>
    </xf>
    <xf numFmtId="10" fontId="10" fillId="0" borderId="0" xfId="0" applyNumberFormat="1" applyFont="1"/>
    <xf numFmtId="10" fontId="10" fillId="0" borderId="0" xfId="21" applyNumberFormat="1" applyFont="1" applyFill="1" applyAlignment="1">
      <alignment horizontal="center"/>
    </xf>
    <xf numFmtId="9" fontId="10" fillId="0" borderId="0" xfId="2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9" fillId="3" borderId="0" xfId="39" applyNumberFormat="1" applyFont="1" applyFill="1"/>
    <xf numFmtId="3" fontId="39"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2"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182" fontId="18" fillId="0" borderId="0" xfId="1" applyNumberFormat="1" applyFont="1" applyBorder="1"/>
    <xf numFmtId="10" fontId="18" fillId="3" borderId="0" xfId="2" applyNumberFormat="1" applyFont="1" applyFill="1" applyBorder="1"/>
    <xf numFmtId="169" fontId="40"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18" fillId="0" borderId="9" xfId="0" applyFont="1" applyBorder="1"/>
    <xf numFmtId="0" fontId="18" fillId="3" borderId="9" xfId="0" applyFont="1" applyFill="1" applyBorder="1" applyAlignment="1">
      <alignment wrapText="1"/>
    </xf>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3" fontId="10" fillId="0" borderId="1" xfId="0" applyNumberFormat="1" applyFont="1" applyBorder="1" applyAlignment="1">
      <alignment horizontal="center" wrapText="1"/>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1"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1"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8" fontId="18" fillId="0" borderId="1" xfId="1" applyNumberFormat="1" applyFont="1" applyBorder="1"/>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1"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1"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1"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1"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1"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1"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180"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3"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37" fontId="10" fillId="0" borderId="3" xfId="0" applyNumberFormat="1" applyFont="1" applyBorder="1" applyAlignment="1">
      <alignment horizontal="right"/>
    </xf>
    <xf numFmtId="183" fontId="18" fillId="3" borderId="0" xfId="1" applyNumberFormat="1" applyFont="1" applyFill="1"/>
    <xf numFmtId="169" fontId="18" fillId="3" borderId="0" xfId="1" applyNumberFormat="1" applyFont="1" applyFill="1"/>
    <xf numFmtId="169" fontId="18" fillId="0" borderId="35" xfId="1" applyNumberFormat="1" applyFont="1" applyBorder="1"/>
    <xf numFmtId="169" fontId="18" fillId="0" borderId="7" xfId="1" applyNumberFormat="1" applyFont="1" applyBorder="1"/>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69" fontId="10" fillId="0" borderId="0" xfId="1" applyNumberFormat="1" applyFont="1" applyBorder="1" applyProtection="1">
      <protection locked="0"/>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8" fillId="0" borderId="6" xfId="7" applyFont="1" applyBorder="1" applyAlignment="1">
      <alignment horizontal="center" vertical="center"/>
    </xf>
    <xf numFmtId="0" fontId="8" fillId="0" borderId="3" xfId="7" applyFont="1" applyBorder="1" applyAlignment="1">
      <alignment horizontal="center"/>
    </xf>
    <xf numFmtId="10" fontId="24" fillId="0" borderId="0" xfId="0" applyNumberFormat="1" applyFont="1"/>
    <xf numFmtId="0" fontId="10" fillId="0" borderId="2" xfId="32" applyFont="1" applyBorder="1"/>
    <xf numFmtId="3" fontId="10" fillId="0" borderId="0" xfId="0" applyNumberFormat="1" applyFont="1" applyAlignment="1">
      <alignment horizontal="center"/>
    </xf>
    <xf numFmtId="10" fontId="10" fillId="0" borderId="0" xfId="2" applyNumberFormat="1" applyFont="1" applyAlignment="1">
      <alignment horizontal="right"/>
    </xf>
    <xf numFmtId="10" fontId="10" fillId="0" borderId="0" xfId="21" applyNumberFormat="1" applyFont="1" applyFill="1"/>
    <xf numFmtId="10" fontId="10" fillId="0" borderId="0" xfId="21" applyNumberFormat="1" applyFont="1" applyFill="1" applyBorder="1" applyAlignment="1">
      <alignment horizontal="center" wrapText="1"/>
    </xf>
    <xf numFmtId="10" fontId="10" fillId="0" borderId="0" xfId="21" applyNumberFormat="1" applyFont="1" applyFill="1" applyBorder="1" applyAlignment="1">
      <alignment horizontal="center"/>
    </xf>
    <xf numFmtId="10" fontId="10" fillId="0" borderId="0" xfId="21" applyNumberFormat="1" applyFont="1" applyFill="1" applyAlignment="1"/>
    <xf numFmtId="10" fontId="10" fillId="0" borderId="0" xfId="21" applyNumberFormat="1" applyFont="1" applyFill="1" applyBorder="1" applyAlignment="1">
      <alignment horizontal="right"/>
    </xf>
    <xf numFmtId="10" fontId="10" fillId="0" borderId="0" xfId="21" applyNumberFormat="1" applyFont="1" applyAlignment="1">
      <alignment horizontal="right"/>
    </xf>
    <xf numFmtId="43" fontId="10" fillId="0" borderId="0" xfId="39" applyFont="1" applyFill="1" applyAlignment="1">
      <alignment horizontal="center"/>
    </xf>
    <xf numFmtId="3" fontId="28" fillId="3" borderId="0" xfId="23" applyNumberFormat="1" applyFont="1" applyFill="1" applyBorder="1"/>
    <xf numFmtId="10" fontId="10" fillId="2" borderId="0" xfId="5" applyNumberFormat="1" applyFont="1" applyFill="1" applyProtection="1">
      <protection locked="0"/>
    </xf>
    <xf numFmtId="0" fontId="10" fillId="4" borderId="8" xfId="32" applyFont="1" applyFill="1" applyBorder="1" applyProtection="1">
      <protection locked="0"/>
    </xf>
    <xf numFmtId="0" fontId="57" fillId="0" borderId="0" xfId="51" applyFont="1"/>
    <xf numFmtId="0" fontId="57" fillId="2" borderId="0" xfId="51" applyFont="1" applyFill="1"/>
    <xf numFmtId="0" fontId="57" fillId="0" borderId="0" xfId="51" applyFont="1" applyAlignment="1">
      <alignment horizontal="center"/>
    </xf>
    <xf numFmtId="0" fontId="57" fillId="2" borderId="3" xfId="51" applyFont="1" applyFill="1" applyBorder="1"/>
    <xf numFmtId="0" fontId="57" fillId="0" borderId="3" xfId="51" applyFont="1" applyBorder="1" applyAlignment="1">
      <alignment wrapText="1"/>
    </xf>
    <xf numFmtId="0" fontId="57" fillId="2" borderId="0" xfId="51" applyFont="1" applyFill="1" applyAlignment="1">
      <alignment horizontal="center"/>
    </xf>
    <xf numFmtId="0" fontId="57" fillId="0" borderId="9" xfId="51" applyFont="1" applyBorder="1"/>
    <xf numFmtId="0" fontId="57" fillId="0" borderId="8" xfId="51" applyFont="1" applyBorder="1"/>
    <xf numFmtId="0" fontId="57" fillId="0" borderId="9" xfId="51" applyFont="1" applyBorder="1" applyAlignment="1">
      <alignment wrapText="1"/>
    </xf>
    <xf numFmtId="0" fontId="57" fillId="0" borderId="10" xfId="51" applyFont="1" applyBorder="1"/>
    <xf numFmtId="0" fontId="57" fillId="2" borderId="9" xfId="51" applyFont="1" applyFill="1" applyBorder="1"/>
    <xf numFmtId="0" fontId="57" fillId="2" borderId="35" xfId="51" applyFont="1" applyFill="1" applyBorder="1"/>
    <xf numFmtId="0" fontId="57" fillId="2" borderId="10" xfId="51" applyFont="1" applyFill="1" applyBorder="1"/>
    <xf numFmtId="0" fontId="57" fillId="2" borderId="1" xfId="51" applyFont="1" applyFill="1" applyBorder="1"/>
    <xf numFmtId="0" fontId="57" fillId="2" borderId="7" xfId="51" applyFont="1" applyFill="1" applyBorder="1"/>
    <xf numFmtId="0" fontId="30" fillId="3" borderId="0" xfId="0" applyFont="1" applyFill="1" applyAlignment="1">
      <alignment horizontal="center"/>
    </xf>
    <xf numFmtId="0" fontId="30" fillId="0" borderId="0" xfId="0" applyFont="1" applyAlignment="1">
      <alignment horizontal="center"/>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8" fillId="0" borderId="3" xfId="7" applyFont="1" applyBorder="1" applyAlignment="1">
      <alignment horizontal="center"/>
    </xf>
    <xf numFmtId="0" fontId="8" fillId="0" borderId="3" xfId="7" applyFont="1" applyBorder="1" applyAlignment="1">
      <alignment horizontal="center" vertical="center"/>
    </xf>
    <xf numFmtId="49" fontId="21" fillId="0" borderId="0" xfId="7" applyNumberFormat="1" applyFont="1" applyAlignment="1">
      <alignment horizontal="center"/>
    </xf>
    <xf numFmtId="0" fontId="2" fillId="0" borderId="39" xfId="7" applyFont="1" applyBorder="1" applyAlignment="1">
      <alignment horizontal="center"/>
    </xf>
    <xf numFmtId="0" fontId="21" fillId="3" borderId="0" xfId="7" applyFont="1" applyFill="1" applyAlignment="1">
      <alignment horizontal="center"/>
    </xf>
    <xf numFmtId="0" fontId="21" fillId="0" borderId="0" xfId="7" applyFont="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0" fillId="0" borderId="11" xfId="51" applyFont="1" applyBorder="1" applyAlignment="1">
      <alignment horizontal="center"/>
    </xf>
    <xf numFmtId="0" fontId="10" fillId="0" borderId="12" xfId="51" applyFont="1" applyBorder="1" applyAlignment="1">
      <alignment horizontal="center"/>
    </xf>
    <xf numFmtId="0" fontId="10" fillId="0" borderId="13" xfId="51"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18" fillId="0" borderId="12" xfId="0" applyFont="1" applyBorder="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9" fillId="0" borderId="0" xfId="0" applyFont="1" applyAlignment="1">
      <alignment horizontal="center"/>
    </xf>
    <xf numFmtId="181" fontId="9" fillId="3" borderId="0" xfId="0" applyNumberFormat="1" applyFont="1" applyFill="1" applyAlignment="1">
      <alignment horizontal="center"/>
    </xf>
    <xf numFmtId="0" fontId="10"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105">
    <cellStyle name="20% - Accent1 2" xfId="52" xr:uid="{4D27DF8E-CBF8-4970-8B1D-D5BF90764A86}"/>
    <cellStyle name="20% - Accent2 2" xfId="53" xr:uid="{F2177D9B-3C86-4338-B7DE-5B4C680FEF97}"/>
    <cellStyle name="20% - Accent3 2" xfId="54" xr:uid="{5BFE0705-DC46-476C-BC0E-57E69697A77C}"/>
    <cellStyle name="20% - Accent4 2" xfId="55" xr:uid="{2D4AE3EE-73D3-4DB2-AE8A-F110BA11CEC8}"/>
    <cellStyle name="20% - Accent5 2" xfId="56" xr:uid="{ED048885-AC67-4FB0-BF87-C94E22DB6B7F}"/>
    <cellStyle name="20% - Accent6 2" xfId="57" xr:uid="{B78EDD5F-E4D3-4013-BDA8-45BAF357D6A1}"/>
    <cellStyle name="40% - Accent1 2" xfId="58" xr:uid="{9746E893-5379-4F00-893F-C2360482E6F3}"/>
    <cellStyle name="40% - Accent2 2" xfId="59" xr:uid="{FA414FB6-78E9-4E76-92C0-9780AB0858A4}"/>
    <cellStyle name="40% - Accent3 2" xfId="60" xr:uid="{584E744E-C049-4259-AAEA-1D2A3EFA6635}"/>
    <cellStyle name="40% - Accent4 2" xfId="61" xr:uid="{AF2B4173-BFFA-47DF-9ACD-9AF48ED58C9C}"/>
    <cellStyle name="40% - Accent5 2" xfId="62" xr:uid="{2C5A66C9-E756-4AFE-B521-C0E8F3764162}"/>
    <cellStyle name="40% - Accent6 2" xfId="63" xr:uid="{5B86F24E-1BBD-4256-B877-F4B45427303C}"/>
    <cellStyle name="60% - Accent1 2" xfId="64" xr:uid="{7787E944-F952-49ED-B79F-4F905C948DCC}"/>
    <cellStyle name="60% - Accent2 2" xfId="65" xr:uid="{6EB291EC-4C18-4E8D-9089-F20DA62F3017}"/>
    <cellStyle name="60% - Accent3 2" xfId="66" xr:uid="{AB745673-830A-4483-A698-ED8312024B31}"/>
    <cellStyle name="60% - Accent4 2" xfId="67" xr:uid="{587B3A30-08D8-4DA0-8ED1-4385B8DE8F30}"/>
    <cellStyle name="60% - Accent5 2" xfId="68" xr:uid="{A794E8D2-128C-4781-9657-933CFA525010}"/>
    <cellStyle name="60% - Accent6 2" xfId="69" xr:uid="{E90646D0-1B6F-4FB4-A0F6-3B81EB7A8D7B}"/>
    <cellStyle name="A3 297 x 420 mm 2" xfId="36" xr:uid="{1C234D43-957C-4BD9-87DC-FA7B69CBFA1A}"/>
    <cellStyle name="Accent1 2" xfId="70" xr:uid="{DC1CC36D-FEDB-4D9F-AE89-491C3E8E70F9}"/>
    <cellStyle name="Accent2 2" xfId="71" xr:uid="{C55B3141-0DF0-46E4-BC9B-AE2721A55B76}"/>
    <cellStyle name="Accent3 2" xfId="72" xr:uid="{2F8A8E7E-E735-455C-A0C5-4D911D7434A7}"/>
    <cellStyle name="Accent4 2" xfId="73" xr:uid="{28243DE7-FAB2-4689-BF13-4E09D6195FE0}"/>
    <cellStyle name="Accent5 2" xfId="74" xr:uid="{3299B371-D071-475F-B115-2D792E07377B}"/>
    <cellStyle name="Accent6 2" xfId="75" xr:uid="{9A4D943E-2C64-4A94-BA29-1C5B93AC3E67}"/>
    <cellStyle name="Bad 2" xfId="76" xr:uid="{F0A7E1DD-3A1D-444D-8F2C-B93528988FA7}"/>
    <cellStyle name="Calculation 2" xfId="77" xr:uid="{CAFB36EC-5DA3-4C0C-A111-1B9120151A09}"/>
    <cellStyle name="Check Cell 2" xfId="78" xr:uid="{BEABB7D2-6BAA-455A-8B2A-785680C1FE45}"/>
    <cellStyle name="Comma" xfId="1" builtinId="3"/>
    <cellStyle name="Comma [0]" xfId="35" builtinId="6"/>
    <cellStyle name="Comma [0] 2" xfId="79" xr:uid="{9CF8607D-F974-4700-A8AA-ABB69D21679D}"/>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2 2" xfId="80" xr:uid="{39C9193C-1CB5-4417-B980-3BFA34E8772C}"/>
    <cellStyle name="Comma 21 3" xfId="33" xr:uid="{1CCBB944-36F3-4EB1-814A-596F6C8658F1}"/>
    <cellStyle name="Comma 21 3 2" xfId="81" xr:uid="{59A04076-8C0A-4B48-BA8F-EC0A12C8C113}"/>
    <cellStyle name="Comma 6" xfId="38" xr:uid="{F6ECF257-04B2-435B-9B2F-40CD3997FBEA}"/>
    <cellStyle name="Comma 6 2" xfId="82" xr:uid="{F2C3F171-7ACB-4B4B-A008-9CC47346DBFC}"/>
    <cellStyle name="Currency 10" xfId="12" xr:uid="{00000000-0005-0000-0000-000005000000}"/>
    <cellStyle name="Currency 10 2" xfId="23" xr:uid="{00000000-0005-0000-0000-000006000000}"/>
    <cellStyle name="Currency 2" xfId="20" xr:uid="{00000000-0005-0000-0000-000007000000}"/>
    <cellStyle name="Explanatory Text" xfId="50" builtinId="53" customBuiltin="1"/>
    <cellStyle name="Good 2" xfId="83" xr:uid="{4D018CC6-DEC1-4086-BB2D-A99D71BB93EC}"/>
    <cellStyle name="Heading 1" xfId="46" builtinId="16" customBuiltin="1"/>
    <cellStyle name="Heading 2 2" xfId="84" xr:uid="{47EB5C29-A1BE-4AD8-A8D7-AB5CB7C366A7}"/>
    <cellStyle name="Heading 3" xfId="47" builtinId="18" customBuiltin="1"/>
    <cellStyle name="Heading 4" xfId="48" builtinId="19" customBuiltin="1"/>
    <cellStyle name="Input 2" xfId="85" xr:uid="{84FC2785-7D5B-421C-A2B0-EFAFA7E1E606}"/>
    <cellStyle name="Linked Cell" xfId="49" builtinId="24" customBuiltin="1"/>
    <cellStyle name="Neutral 2" xfId="86" xr:uid="{B2AA32CC-E090-4EE2-AAED-E87DFC3D8088}"/>
    <cellStyle name="Normal" xfId="0" builtinId="0"/>
    <cellStyle name="Normal 11" xfId="41" xr:uid="{567FC1A7-07E7-497A-B82D-12685924ABFF}"/>
    <cellStyle name="Normal 11 2" xfId="87" xr:uid="{911E17EB-4245-483E-8946-6B7F94FD04A0}"/>
    <cellStyle name="Normal 2" xfId="3" xr:uid="{00000000-0005-0000-0000-000009000000}"/>
    <cellStyle name="Normal 2 2" xfId="37" xr:uid="{1D365B1D-743D-4531-A7C7-8015102F232A}"/>
    <cellStyle name="Normal 2 3" xfId="25" xr:uid="{00000000-0005-0000-0000-00000A000000}"/>
    <cellStyle name="Normal 2 3 2" xfId="88" xr:uid="{61A279B4-48B7-4123-B98E-7850E7DBAE23}"/>
    <cellStyle name="Normal 2_Trial Bal Download" xfId="6" xr:uid="{00000000-0005-0000-0000-00000B000000}"/>
    <cellStyle name="Normal 20" xfId="17" xr:uid="{00000000-0005-0000-0000-00000C000000}"/>
    <cellStyle name="Normal 22 2" xfId="24" xr:uid="{00000000-0005-0000-0000-00000D000000}"/>
    <cellStyle name="Normal 22 2 2" xfId="89" xr:uid="{96616406-BAA9-4E8A-A3CA-C6CF1351D239}"/>
    <cellStyle name="Normal 23" xfId="15" xr:uid="{00000000-0005-0000-0000-00000E000000}"/>
    <cellStyle name="Normal 27 2" xfId="28" xr:uid="{00000000-0005-0000-0000-00000F000000}"/>
    <cellStyle name="Normal 27 2 2" xfId="90" xr:uid="{5B0F265E-A168-4F7F-9AC0-F5F0B363A033}"/>
    <cellStyle name="Normal 28 2" xfId="9" xr:uid="{00000000-0005-0000-0000-000010000000}"/>
    <cellStyle name="Normal 28 2 2" xfId="91" xr:uid="{C408789F-2D3D-483F-BF64-6A3EC1CB488A}"/>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4 2" xfId="92" xr:uid="{A2DA656A-C23F-4982-930C-C1558640FB6C}"/>
    <cellStyle name="Normal 5" xfId="11" xr:uid="{00000000-0005-0000-0000-000014000000}"/>
    <cellStyle name="Normal 5 2" xfId="16" xr:uid="{00000000-0005-0000-0000-000015000000}"/>
    <cellStyle name="Normal 6" xfId="32" xr:uid="{F8D904F5-72F3-4C29-AA5F-74F2B48B4D84}"/>
    <cellStyle name="Normal 6 2" xfId="93" xr:uid="{263FA05E-D36B-43C5-837F-4D74EC2824EA}"/>
    <cellStyle name="Normal 6 2 2" xfId="26" xr:uid="{00000000-0005-0000-0000-000016000000}"/>
    <cellStyle name="Normal 6 2 2 2" xfId="29" xr:uid="{00000000-0005-0000-0000-000017000000}"/>
    <cellStyle name="Normal 6 2 2 2 2" xfId="95" xr:uid="{1D15710B-77EE-4307-B24C-B813E2CFCA9C}"/>
    <cellStyle name="Normal 6 2 2 3" xfId="94" xr:uid="{D2101DFA-514E-44C4-A71C-7205B79A2546}"/>
    <cellStyle name="Normal 6 3 2" xfId="27" xr:uid="{00000000-0005-0000-0000-000018000000}"/>
    <cellStyle name="Normal 6 3 2 2" xfId="96" xr:uid="{391D045D-87E7-4312-B83E-B632130586F1}"/>
    <cellStyle name="Normal 7" xfId="18" xr:uid="{00000000-0005-0000-0000-000019000000}"/>
    <cellStyle name="Normal 7 5" xfId="43" xr:uid="{3CABFED1-10B8-46DE-A550-045F9E2C4A00}"/>
    <cellStyle name="Normal 8" xfId="34" xr:uid="{E90DB7E0-BA88-44BA-AD9B-743626D85488}"/>
    <cellStyle name="Normal 8 2" xfId="97" xr:uid="{8324B60E-9B01-4AC2-8707-45D69523781E}"/>
    <cellStyle name="Normal 9" xfId="51" xr:uid="{6E307CC9-7388-4353-9525-808F2D65A5B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Note 2" xfId="98" xr:uid="{2C29734C-AC42-415E-AF07-F4BC58C21172}"/>
    <cellStyle name="Output 2" xfId="99" xr:uid="{FA2540CC-32A1-4AA4-9C11-3FDA166559F9}"/>
    <cellStyle name="Percent" xfId="2" builtinId="5"/>
    <cellStyle name="Percent 2" xfId="14" xr:uid="{00000000-0005-0000-0000-000025000000}"/>
    <cellStyle name="Percent 2 2" xfId="101" xr:uid="{8AF20F24-1327-49AC-8E19-D65A231D6C9F}"/>
    <cellStyle name="Percent 3" xfId="21" xr:uid="{00000000-0005-0000-0000-000026000000}"/>
    <cellStyle name="Percent 4" xfId="40" xr:uid="{1851FA21-027C-433F-8309-72171705543E}"/>
    <cellStyle name="Percent 5" xfId="100" xr:uid="{123C7430-A70C-4ABB-995A-92D24FBF2D73}"/>
    <cellStyle name="Percent 7 2" xfId="42" xr:uid="{64E2E0A4-12E6-4F64-A7DA-E7245747D567}"/>
    <cellStyle name="Title 2" xfId="102" xr:uid="{84C8B06A-965B-4808-897F-84386377FDC2}"/>
    <cellStyle name="Total 2" xfId="103" xr:uid="{FBDB9516-80B0-4176-93DB-D2F78F5DE7D0}"/>
    <cellStyle name="Warning Text 2" xfId="104" xr:uid="{288346D9-77A5-4F30-90AA-E187E6E3521F}"/>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refreshError="1"/>
      <sheetData sheetId="4" refreshError="1"/>
      <sheetData sheetId="5" refreshError="1"/>
      <sheetData sheetId="6" refreshError="1">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F1">
            <v>12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D35"/>
  <sheetViews>
    <sheetView tabSelected="1" zoomScaleNormal="100" workbookViewId="0">
      <selection activeCell="C42" sqref="C42"/>
    </sheetView>
  </sheetViews>
  <sheetFormatPr defaultColWidth="9.140625" defaultRowHeight="14.25"/>
  <cols>
    <col min="1" max="1" width="11.42578125" style="352" customWidth="1"/>
    <col min="2" max="2" width="11" style="352" customWidth="1"/>
    <col min="3" max="3" width="27.140625" style="352" customWidth="1"/>
    <col min="4" max="4" width="68.85546875" style="352" customWidth="1"/>
    <col min="5" max="16384" width="9.140625" style="352"/>
  </cols>
  <sheetData>
    <row r="1" spans="1:4" ht="15.75">
      <c r="A1" s="569" t="s">
        <v>624</v>
      </c>
      <c r="B1" s="569"/>
    </row>
    <row r="4" spans="1:4" ht="15.75">
      <c r="A4" s="637" t="s">
        <v>576</v>
      </c>
      <c r="B4" s="637"/>
      <c r="C4" s="637"/>
      <c r="D4" s="637"/>
    </row>
    <row r="5" spans="1:4" ht="15.75">
      <c r="A5" s="637" t="s">
        <v>324</v>
      </c>
      <c r="B5" s="637"/>
      <c r="C5" s="637"/>
      <c r="D5" s="637"/>
    </row>
    <row r="6" spans="1:4" ht="15.75">
      <c r="A6" s="637" t="s">
        <v>490</v>
      </c>
      <c r="B6" s="637"/>
      <c r="C6" s="637"/>
      <c r="D6" s="637"/>
    </row>
    <row r="7" spans="1:4" ht="15.75">
      <c r="A7" s="636" t="str">
        <f>+'Appendix A'!H3</f>
        <v>Projected ATRR or Actual ATRR for the 12 Months Ended 12/31/XXXX</v>
      </c>
      <c r="B7" s="636"/>
      <c r="C7" s="636"/>
      <c r="D7" s="636"/>
    </row>
    <row r="8" spans="1:4" ht="15.75">
      <c r="A8" s="637" t="s">
        <v>325</v>
      </c>
      <c r="B8" s="637"/>
      <c r="C8" s="637"/>
      <c r="D8" s="637"/>
    </row>
    <row r="10" spans="1:4" ht="28.5">
      <c r="B10" s="402" t="s">
        <v>652</v>
      </c>
      <c r="C10" s="403" t="s">
        <v>328</v>
      </c>
      <c r="D10" s="403" t="s">
        <v>230</v>
      </c>
    </row>
    <row r="11" spans="1:4">
      <c r="B11" s="404" t="s">
        <v>35</v>
      </c>
      <c r="C11" s="352" t="s">
        <v>416</v>
      </c>
      <c r="D11" s="352" t="s">
        <v>494</v>
      </c>
    </row>
    <row r="12" spans="1:4">
      <c r="B12" s="404"/>
    </row>
    <row r="13" spans="1:4">
      <c r="B13" s="404">
        <v>1</v>
      </c>
      <c r="C13" s="352" t="s">
        <v>121</v>
      </c>
      <c r="D13" s="352" t="s">
        <v>611</v>
      </c>
    </row>
    <row r="14" spans="1:4">
      <c r="B14" s="404"/>
    </row>
    <row r="15" spans="1:4">
      <c r="B15" s="404" t="s">
        <v>412</v>
      </c>
      <c r="C15" s="352" t="s">
        <v>329</v>
      </c>
      <c r="D15" s="352" t="s">
        <v>347</v>
      </c>
    </row>
    <row r="17" spans="2:4">
      <c r="B17" s="404" t="s">
        <v>413</v>
      </c>
      <c r="C17" s="352" t="s">
        <v>417</v>
      </c>
      <c r="D17" s="352" t="s">
        <v>573</v>
      </c>
    </row>
    <row r="18" spans="2:4">
      <c r="B18" s="404"/>
    </row>
    <row r="19" spans="2:4">
      <c r="B19" s="404" t="s">
        <v>414</v>
      </c>
      <c r="C19" s="352" t="s">
        <v>330</v>
      </c>
      <c r="D19" s="352" t="s">
        <v>331</v>
      </c>
    </row>
    <row r="20" spans="2:4">
      <c r="B20" s="404"/>
    </row>
    <row r="21" spans="2:4">
      <c r="B21" s="404" t="s">
        <v>415</v>
      </c>
      <c r="C21" s="352" t="s">
        <v>332</v>
      </c>
      <c r="D21" s="352" t="s">
        <v>333</v>
      </c>
    </row>
    <row r="22" spans="2:4">
      <c r="B22" s="404"/>
    </row>
    <row r="23" spans="2:4">
      <c r="B23" s="404">
        <v>3</v>
      </c>
      <c r="C23" s="352" t="s">
        <v>211</v>
      </c>
      <c r="D23" s="352" t="s">
        <v>334</v>
      </c>
    </row>
    <row r="24" spans="2:4">
      <c r="B24" s="404"/>
    </row>
    <row r="25" spans="2:4">
      <c r="B25" s="404">
        <v>4</v>
      </c>
      <c r="C25" s="352" t="s">
        <v>335</v>
      </c>
      <c r="D25" s="352" t="s">
        <v>389</v>
      </c>
    </row>
    <row r="26" spans="2:4">
      <c r="B26" s="404"/>
    </row>
    <row r="27" spans="2:4">
      <c r="B27" s="404">
        <f>+B25+1</f>
        <v>5</v>
      </c>
      <c r="C27" s="352" t="s">
        <v>390</v>
      </c>
      <c r="D27" s="352" t="s">
        <v>625</v>
      </c>
    </row>
    <row r="28" spans="2:4">
      <c r="B28" s="404"/>
    </row>
    <row r="29" spans="2:4">
      <c r="B29" s="404">
        <f>+B27+1</f>
        <v>6</v>
      </c>
      <c r="C29" s="352" t="s">
        <v>418</v>
      </c>
      <c r="D29" s="405" t="s">
        <v>626</v>
      </c>
    </row>
    <row r="30" spans="2:4">
      <c r="B30" s="404"/>
    </row>
    <row r="31" spans="2:4">
      <c r="B31" s="404">
        <f>+B29+1</f>
        <v>7</v>
      </c>
      <c r="C31" s="352" t="s">
        <v>336</v>
      </c>
      <c r="D31" s="352" t="s">
        <v>336</v>
      </c>
    </row>
    <row r="33" spans="2:4" ht="42.75">
      <c r="B33" s="404">
        <f>+B31+1</f>
        <v>8</v>
      </c>
      <c r="C33" s="352" t="s">
        <v>337</v>
      </c>
      <c r="D33" s="405" t="s">
        <v>574</v>
      </c>
    </row>
    <row r="34" spans="2:4">
      <c r="B34" s="404"/>
    </row>
    <row r="35" spans="2:4">
      <c r="B35" s="404">
        <f>+B33+1</f>
        <v>9</v>
      </c>
      <c r="C35" s="352" t="s">
        <v>338</v>
      </c>
      <c r="D35" s="352" t="s">
        <v>570</v>
      </c>
    </row>
  </sheetData>
  <mergeCells count="5">
    <mergeCell ref="A7:D7"/>
    <mergeCell ref="A4:D4"/>
    <mergeCell ref="A5:D5"/>
    <mergeCell ref="A6:D6"/>
    <mergeCell ref="A8:D8"/>
  </mergeCells>
  <pageMargins left="0.7" right="0.7" top="0.75" bottom="0.75" header="0.3" footer="0.3"/>
  <pageSetup paperSize="256"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R107"/>
  <sheetViews>
    <sheetView zoomScale="90" zoomScaleNormal="90" zoomScalePageLayoutView="50" workbookViewId="0">
      <selection activeCell="F42" sqref="F42"/>
    </sheetView>
  </sheetViews>
  <sheetFormatPr defaultRowHeight="15"/>
  <cols>
    <col min="1" max="1" width="7.42578125" style="124" customWidth="1"/>
    <col min="2" max="2" width="13.42578125" customWidth="1"/>
    <col min="4" max="4" width="17.5703125" bestFit="1" customWidth="1"/>
    <col min="5" max="5" width="16.28515625" customWidth="1"/>
    <col min="6" max="6" width="14.28515625" bestFit="1" customWidth="1"/>
    <col min="7" max="7" width="5.85546875" customWidth="1"/>
    <col min="8" max="8" width="22" customWidth="1"/>
    <col min="9" max="9" width="7.140625" customWidth="1"/>
    <col min="10" max="10" width="17.7109375" customWidth="1"/>
    <col min="11" max="11" width="19.85546875" customWidth="1"/>
    <col min="12" max="12" width="18.42578125" customWidth="1"/>
    <col min="13" max="13" width="19.28515625" customWidth="1"/>
    <col min="14" max="14" width="16.28515625" customWidth="1"/>
    <col min="15" max="15" width="20.85546875" customWidth="1"/>
    <col min="16" max="16" width="19" customWidth="1"/>
    <col min="17" max="17" width="14.85546875" bestFit="1" customWidth="1"/>
    <col min="18" max="18" width="17.5703125" bestFit="1" customWidth="1"/>
    <col min="19" max="19" width="17.85546875" customWidth="1"/>
  </cols>
  <sheetData>
    <row r="1" spans="1:18" ht="18">
      <c r="B1" s="685" t="s">
        <v>576</v>
      </c>
      <c r="C1" s="685"/>
      <c r="D1" s="685"/>
      <c r="E1" s="685"/>
      <c r="F1" s="685"/>
      <c r="G1" s="685"/>
      <c r="H1" s="685"/>
      <c r="I1" s="685"/>
      <c r="J1" s="685"/>
      <c r="K1" s="685"/>
      <c r="L1" s="685"/>
      <c r="M1" s="685"/>
      <c r="N1" s="685"/>
      <c r="O1" s="685"/>
      <c r="P1" s="685"/>
      <c r="Q1" s="685"/>
      <c r="R1" s="685"/>
    </row>
    <row r="2" spans="1:18" ht="18">
      <c r="B2" s="685" t="s">
        <v>548</v>
      </c>
      <c r="C2" s="685"/>
      <c r="D2" s="685"/>
      <c r="E2" s="685"/>
      <c r="F2" s="685"/>
      <c r="G2" s="685"/>
      <c r="H2" s="685"/>
      <c r="I2" s="685"/>
      <c r="J2" s="685"/>
      <c r="K2" s="685"/>
      <c r="L2" s="685"/>
      <c r="M2" s="685"/>
      <c r="N2" s="685"/>
      <c r="O2" s="685"/>
      <c r="P2" s="685"/>
      <c r="Q2" s="685"/>
      <c r="R2" s="685"/>
    </row>
    <row r="3" spans="1:18" ht="18">
      <c r="B3" s="686" t="str">
        <f>+'Appendix A'!H3</f>
        <v>Projected ATRR or Actual ATRR for the 12 Months Ended 12/31/XXXX</v>
      </c>
      <c r="C3" s="686"/>
      <c r="D3" s="686"/>
      <c r="E3" s="686"/>
      <c r="F3" s="686"/>
      <c r="G3" s="686"/>
      <c r="H3" s="686"/>
      <c r="I3" s="686"/>
      <c r="J3" s="686"/>
      <c r="K3" s="686"/>
      <c r="L3" s="686"/>
      <c r="M3" s="686"/>
      <c r="N3" s="686"/>
      <c r="O3" s="686"/>
      <c r="P3" s="686"/>
      <c r="Q3" s="686"/>
      <c r="R3" s="686"/>
    </row>
    <row r="6" spans="1:18" ht="16.5" thickBot="1">
      <c r="A6" s="313"/>
      <c r="B6" s="83" t="s">
        <v>68</v>
      </c>
      <c r="C6" s="83"/>
      <c r="D6" s="83" t="s">
        <v>69</v>
      </c>
      <c r="E6" s="83" t="s">
        <v>70</v>
      </c>
      <c r="F6" s="83" t="s">
        <v>71</v>
      </c>
      <c r="G6" s="83"/>
      <c r="H6" s="83" t="s">
        <v>72</v>
      </c>
      <c r="I6" s="83"/>
      <c r="J6" s="83" t="s">
        <v>73</v>
      </c>
      <c r="K6" s="83" t="s">
        <v>74</v>
      </c>
      <c r="L6" s="83" t="s">
        <v>75</v>
      </c>
      <c r="M6" s="83" t="s">
        <v>92</v>
      </c>
      <c r="N6" s="83" t="s">
        <v>93</v>
      </c>
      <c r="O6" s="83" t="s">
        <v>97</v>
      </c>
      <c r="P6" s="83" t="s">
        <v>120</v>
      </c>
      <c r="Q6" s="83" t="s">
        <v>193</v>
      </c>
      <c r="R6" s="83"/>
    </row>
    <row r="7" spans="1:18" ht="15.75">
      <c r="A7" s="313"/>
      <c r="B7" s="326"/>
      <c r="C7" s="327"/>
      <c r="D7" s="684" t="s">
        <v>378</v>
      </c>
      <c r="E7" s="684"/>
      <c r="F7" s="684"/>
      <c r="G7" s="684"/>
      <c r="H7" s="684"/>
      <c r="I7" s="327"/>
      <c r="J7" s="687" t="s">
        <v>644</v>
      </c>
      <c r="K7" s="687"/>
      <c r="L7" s="687"/>
      <c r="M7" s="687"/>
      <c r="N7" s="687"/>
      <c r="O7" s="687"/>
      <c r="P7" s="687"/>
      <c r="Q7" s="687"/>
      <c r="R7" s="53"/>
    </row>
    <row r="8" spans="1:18" ht="63.75" customHeight="1">
      <c r="A8" s="314" t="s">
        <v>122</v>
      </c>
      <c r="B8" s="328"/>
      <c r="C8" s="313"/>
      <c r="D8" s="315" t="s">
        <v>375</v>
      </c>
      <c r="E8" s="316" t="s">
        <v>528</v>
      </c>
      <c r="F8" s="315" t="s">
        <v>61</v>
      </c>
      <c r="G8" s="53"/>
      <c r="H8" s="315" t="s">
        <v>376</v>
      </c>
      <c r="I8" s="53"/>
      <c r="J8" s="315" t="s">
        <v>529</v>
      </c>
      <c r="K8" s="565" t="s">
        <v>530</v>
      </c>
      <c r="L8" s="315" t="s">
        <v>531</v>
      </c>
      <c r="M8" s="315" t="s">
        <v>532</v>
      </c>
      <c r="N8" s="315" t="s">
        <v>533</v>
      </c>
      <c r="O8" s="315" t="s">
        <v>534</v>
      </c>
      <c r="P8" s="315" t="s">
        <v>535</v>
      </c>
      <c r="Q8" s="566" t="s">
        <v>536</v>
      </c>
    </row>
    <row r="9" spans="1:18" ht="51" customHeight="1">
      <c r="A9" s="313"/>
      <c r="B9" s="328" t="s">
        <v>456</v>
      </c>
      <c r="C9" s="313"/>
      <c r="D9" s="324" t="str">
        <f>"Workpaper 1, Line "&amp;'1-RB Items'!A25&amp;""</f>
        <v>Workpaper 1, Line 14</v>
      </c>
      <c r="E9" s="317" t="s">
        <v>493</v>
      </c>
      <c r="F9" s="324" t="str">
        <f>"Workpaper 1, Line "&amp;'1-RB Items'!A46&amp;""</f>
        <v>Workpaper 1, Line 28</v>
      </c>
      <c r="G9" s="53"/>
      <c r="H9" s="324" t="str">
        <f>"Col. "&amp;D6&amp;" + Col. "&amp;F6&amp;""</f>
        <v>Col. (b) + Col. (d)</v>
      </c>
      <c r="I9" s="53"/>
      <c r="J9" s="324" t="str">
        <f>"Line "&amp;A20&amp;" * Col. "&amp;E6&amp;""</f>
        <v>Line 6 * Col. (c)</v>
      </c>
      <c r="K9" s="324" t="str">
        <f>"Line "&amp;A20&amp;" * Col. "&amp;E6&amp;""</f>
        <v>Line 6 * Col. (c)</v>
      </c>
      <c r="L9" s="324" t="str">
        <f>"Line "&amp;A20&amp;" * Col. "&amp;E6&amp;""</f>
        <v>Line 6 * Col. (c)</v>
      </c>
      <c r="M9" s="324" t="str">
        <f>"Line "&amp;A20&amp;" * Col. "&amp;E6&amp;""</f>
        <v>Line 6 * Col. (c)</v>
      </c>
      <c r="N9" s="324" t="str">
        <f>"Line "&amp;A20&amp;" * Col. "&amp;E6&amp;""</f>
        <v>Line 6 * Col. (c)</v>
      </c>
      <c r="O9" s="324" t="str">
        <f>"Line "&amp;A20&amp;" * Col. "&amp;E6&amp;""</f>
        <v>Line 6 * Col. (c)</v>
      </c>
      <c r="P9" s="324" t="str">
        <f>"Line "&amp;A20&amp;" * Col. "&amp;E6&amp;""</f>
        <v>Line 6 * Col. (c)</v>
      </c>
      <c r="Q9" s="322" t="str">
        <f>"Sum of Col. "&amp;J6&amp;" through Col. "&amp;P6&amp;""</f>
        <v>Sum of Col. (f) through Col. (l)</v>
      </c>
    </row>
    <row r="10" spans="1:18" ht="33.75" customHeight="1">
      <c r="A10" s="313">
        <v>1</v>
      </c>
      <c r="B10" s="329" t="s">
        <v>402</v>
      </c>
      <c r="C10" s="53"/>
      <c r="D10" s="58">
        <f>+'1-RB Items'!I25</f>
        <v>0</v>
      </c>
      <c r="E10" s="51" t="e">
        <f>+D10/D20</f>
        <v>#DIV/0!</v>
      </c>
      <c r="F10" s="58">
        <f>+'1-RB Items'!I46</f>
        <v>0</v>
      </c>
      <c r="G10" s="58"/>
      <c r="H10" s="58">
        <f>+D10+F10</f>
        <v>0</v>
      </c>
      <c r="I10" s="58"/>
      <c r="J10" s="58" t="e">
        <f t="shared" ref="J10:L10" si="0">+J20*$E10</f>
        <v>#DIV/0!</v>
      </c>
      <c r="K10" s="58" t="e">
        <f t="shared" si="0"/>
        <v>#DIV/0!</v>
      </c>
      <c r="L10" s="58" t="e">
        <f t="shared" si="0"/>
        <v>#DIV/0!</v>
      </c>
      <c r="M10" s="58" t="e">
        <f>+M20*$E10</f>
        <v>#DIV/0!</v>
      </c>
      <c r="N10" s="58" t="e">
        <f>+N20/E10</f>
        <v>#DIV/0!</v>
      </c>
      <c r="O10" s="58" t="e">
        <f>+O20*$E10</f>
        <v>#DIV/0!</v>
      </c>
      <c r="P10" s="58" t="e">
        <f>+P20*$E10</f>
        <v>#DIV/0!</v>
      </c>
      <c r="Q10" s="330" t="e">
        <f>+SUM(H10:P10)</f>
        <v>#DIV/0!</v>
      </c>
    </row>
    <row r="11" spans="1:18" ht="15.75">
      <c r="A11" s="313"/>
      <c r="B11" s="328"/>
      <c r="C11" s="53"/>
      <c r="D11" s="58"/>
      <c r="E11" s="51"/>
      <c r="F11" s="58"/>
      <c r="G11" s="58"/>
      <c r="H11" s="58"/>
      <c r="I11" s="58"/>
      <c r="J11" s="58"/>
      <c r="K11" s="58"/>
      <c r="L11" s="58"/>
      <c r="M11" s="58"/>
      <c r="O11" s="58"/>
      <c r="P11" s="58"/>
      <c r="Q11" s="330"/>
    </row>
    <row r="12" spans="1:18" ht="28.5" customHeight="1">
      <c r="A12" s="313">
        <f>+A10+1</f>
        <v>2</v>
      </c>
      <c r="B12" s="329" t="s">
        <v>403</v>
      </c>
      <c r="C12" s="53"/>
      <c r="D12" s="58">
        <f>+'1-RB Items'!J25</f>
        <v>0</v>
      </c>
      <c r="E12" s="51" t="e">
        <f>+D12/D20</f>
        <v>#DIV/0!</v>
      </c>
      <c r="F12" s="58">
        <f>+'1-RB Items'!J46</f>
        <v>0</v>
      </c>
      <c r="G12" s="58"/>
      <c r="H12" s="58">
        <f>+D12+F12</f>
        <v>0</v>
      </c>
      <c r="I12" s="58"/>
      <c r="J12" s="58" t="e">
        <f t="shared" ref="J12:L12" si="1">+J20*$E12</f>
        <v>#DIV/0!</v>
      </c>
      <c r="K12" s="58" t="e">
        <f t="shared" si="1"/>
        <v>#DIV/0!</v>
      </c>
      <c r="L12" s="58" t="e">
        <f t="shared" si="1"/>
        <v>#DIV/0!</v>
      </c>
      <c r="M12" s="58" t="e">
        <f>+M20*$E12</f>
        <v>#DIV/0!</v>
      </c>
      <c r="N12" s="58" t="e">
        <f>+N20*E12</f>
        <v>#DIV/0!</v>
      </c>
      <c r="O12" s="58" t="e">
        <f>+O20*$E12</f>
        <v>#DIV/0!</v>
      </c>
      <c r="P12" s="58" t="e">
        <f>+P20*$E12</f>
        <v>#DIV/0!</v>
      </c>
      <c r="Q12" s="330" t="e">
        <f>+SUM(H12:P12)</f>
        <v>#DIV/0!</v>
      </c>
    </row>
    <row r="13" spans="1:18" ht="15.75">
      <c r="A13" s="313"/>
      <c r="B13" s="328"/>
      <c r="C13" s="53"/>
      <c r="D13" s="58"/>
      <c r="E13" s="51"/>
      <c r="F13" s="58"/>
      <c r="G13" s="58"/>
      <c r="H13" s="58"/>
      <c r="I13" s="58"/>
      <c r="J13" s="58"/>
      <c r="K13" s="58"/>
      <c r="L13" s="58"/>
      <c r="M13" s="58"/>
      <c r="O13" s="58"/>
      <c r="P13" s="58"/>
      <c r="Q13" s="330"/>
    </row>
    <row r="14" spans="1:18" ht="29.25" customHeight="1">
      <c r="A14" s="313">
        <f>+A12+1</f>
        <v>3</v>
      </c>
      <c r="B14" s="329" t="s">
        <v>404</v>
      </c>
      <c r="C14" s="53"/>
      <c r="D14" s="58">
        <f>+'1-RB Items'!K25</f>
        <v>0</v>
      </c>
      <c r="E14" s="51" t="e">
        <f>+D14/D20</f>
        <v>#DIV/0!</v>
      </c>
      <c r="F14" s="58">
        <f>+'1-RB Items'!K46</f>
        <v>0</v>
      </c>
      <c r="G14" s="58"/>
      <c r="H14" s="58">
        <f>+D14+F14</f>
        <v>0</v>
      </c>
      <c r="I14" s="58"/>
      <c r="J14" s="58" t="e">
        <f t="shared" ref="J14:L14" si="2">+J20*$E14</f>
        <v>#DIV/0!</v>
      </c>
      <c r="K14" s="58" t="e">
        <f t="shared" si="2"/>
        <v>#DIV/0!</v>
      </c>
      <c r="L14" s="58" t="e">
        <f t="shared" si="2"/>
        <v>#DIV/0!</v>
      </c>
      <c r="M14" s="58" t="e">
        <f>+M20*$E14</f>
        <v>#DIV/0!</v>
      </c>
      <c r="N14" s="58" t="e">
        <f>+N20*E14</f>
        <v>#DIV/0!</v>
      </c>
      <c r="O14" s="58" t="e">
        <f>+O20*$E14</f>
        <v>#DIV/0!</v>
      </c>
      <c r="P14" s="58" t="e">
        <f>+P20*$E14</f>
        <v>#DIV/0!</v>
      </c>
      <c r="Q14" s="330" t="e">
        <f>+SUM(H14:P14)</f>
        <v>#DIV/0!</v>
      </c>
    </row>
    <row r="15" spans="1:18" ht="15.75">
      <c r="A15" s="313"/>
      <c r="B15" s="328"/>
      <c r="C15" s="53"/>
      <c r="D15" s="58"/>
      <c r="E15" s="51"/>
      <c r="F15" s="58"/>
      <c r="G15" s="58"/>
      <c r="H15" s="58"/>
      <c r="I15" s="58"/>
      <c r="J15" s="58"/>
      <c r="K15" s="58"/>
      <c r="L15" s="58"/>
      <c r="M15" s="58"/>
      <c r="O15" s="58"/>
      <c r="P15" s="58"/>
      <c r="Q15" s="330"/>
    </row>
    <row r="16" spans="1:18" ht="30" customHeight="1">
      <c r="A16" s="313">
        <f>+A14+1</f>
        <v>4</v>
      </c>
      <c r="B16" s="329" t="s">
        <v>405</v>
      </c>
      <c r="C16" s="53"/>
      <c r="D16" s="58">
        <f>+'1-RB Items'!L25</f>
        <v>0</v>
      </c>
      <c r="E16" s="51" t="e">
        <f>+D16/D20</f>
        <v>#DIV/0!</v>
      </c>
      <c r="F16" s="58">
        <f>+'1-RB Items'!L46</f>
        <v>0</v>
      </c>
      <c r="G16" s="58"/>
      <c r="H16" s="58">
        <f>+D16+F16</f>
        <v>0</v>
      </c>
      <c r="I16" s="58"/>
      <c r="J16" s="58" t="e">
        <f t="shared" ref="J16:L16" si="3">+$E16*J20</f>
        <v>#DIV/0!</v>
      </c>
      <c r="K16" s="58" t="e">
        <f t="shared" si="3"/>
        <v>#DIV/0!</v>
      </c>
      <c r="L16" s="58" t="e">
        <f t="shared" si="3"/>
        <v>#DIV/0!</v>
      </c>
      <c r="M16" s="58" t="e">
        <f>+$E16*M20</f>
        <v>#DIV/0!</v>
      </c>
      <c r="N16" s="58" t="e">
        <f>+N20*E16</f>
        <v>#DIV/0!</v>
      </c>
      <c r="O16" s="58" t="e">
        <f>+$E16*O20</f>
        <v>#DIV/0!</v>
      </c>
      <c r="P16" s="58" t="e">
        <f>+$E16*P20</f>
        <v>#DIV/0!</v>
      </c>
      <c r="Q16" s="330" t="e">
        <f>+SUM(H16:P16)</f>
        <v>#DIV/0!</v>
      </c>
    </row>
    <row r="18" spans="1:17" ht="15.75">
      <c r="A18" s="313">
        <f>+A16+1</f>
        <v>5</v>
      </c>
      <c r="B18" s="331"/>
      <c r="C18" s="53"/>
      <c r="D18" s="63"/>
      <c r="E18" s="318" t="e">
        <f>+D18/D20</f>
        <v>#DIV/0!</v>
      </c>
      <c r="F18" s="321"/>
      <c r="G18" s="58"/>
      <c r="H18" s="63"/>
      <c r="I18" s="58"/>
      <c r="J18" s="63"/>
      <c r="K18" s="63"/>
      <c r="L18" s="63"/>
      <c r="M18" s="63"/>
      <c r="N18" s="63"/>
      <c r="O18" s="63"/>
      <c r="P18" s="63"/>
      <c r="Q18" s="332"/>
    </row>
    <row r="19" spans="1:17" ht="15.75">
      <c r="A19" s="313"/>
      <c r="B19" s="328"/>
      <c r="C19" s="53"/>
      <c r="D19" s="58"/>
      <c r="E19" s="51"/>
      <c r="F19" s="58"/>
      <c r="G19" s="58"/>
      <c r="H19" s="58"/>
      <c r="I19" s="58"/>
      <c r="J19" s="53"/>
      <c r="K19" s="53"/>
      <c r="L19" s="53"/>
      <c r="M19" s="58"/>
      <c r="O19" s="58"/>
      <c r="P19" s="58"/>
      <c r="Q19" s="330"/>
    </row>
    <row r="20" spans="1:17" ht="15.75">
      <c r="A20" s="313">
        <f>A18+1</f>
        <v>6</v>
      </c>
      <c r="B20" s="328" t="s">
        <v>9</v>
      </c>
      <c r="C20" s="53"/>
      <c r="D20" s="58">
        <f>+SUM(D10:D18)</f>
        <v>0</v>
      </c>
      <c r="E20" s="51" t="e">
        <f>+SUM(E10:E18)</f>
        <v>#DIV/0!</v>
      </c>
      <c r="F20" s="58">
        <f>+SUM(F10:F18)</f>
        <v>0</v>
      </c>
      <c r="G20" s="58"/>
      <c r="H20" s="58">
        <f>+SUM(H10:H18)</f>
        <v>0</v>
      </c>
      <c r="I20" s="58"/>
      <c r="J20" s="333" t="e">
        <f>+'Appendix A'!I36</f>
        <v>#DIV/0!</v>
      </c>
      <c r="K20" s="333" t="e">
        <f>+'Appendix A'!I37</f>
        <v>#DIV/0!</v>
      </c>
      <c r="L20" s="333" t="e">
        <f>+'Appendix A'!I38</f>
        <v>#DIV/0!</v>
      </c>
      <c r="M20" s="58" t="e">
        <f>+'Appendix A'!I42</f>
        <v>#DIV/0!</v>
      </c>
      <c r="N20" s="333">
        <f>+'Appendix A'!I43</f>
        <v>0</v>
      </c>
      <c r="O20" s="58">
        <f>+'Appendix A'!I46</f>
        <v>0</v>
      </c>
      <c r="P20" s="58" t="e">
        <f>+'Appendix A'!I54</f>
        <v>#DIV/0!</v>
      </c>
      <c r="Q20" s="330" t="e">
        <f>+SUM(Q10:Q18)</f>
        <v>#DIV/0!</v>
      </c>
    </row>
    <row r="21" spans="1:17" ht="31.5" thickBot="1">
      <c r="A21" s="313"/>
      <c r="B21" s="334" t="s">
        <v>455</v>
      </c>
      <c r="C21" s="335"/>
      <c r="D21" s="335"/>
      <c r="E21" s="336"/>
      <c r="F21" s="335"/>
      <c r="G21" s="335"/>
      <c r="H21" s="335"/>
      <c r="I21" s="335"/>
      <c r="J21" s="323" t="str">
        <f>"Appendix A, Line "&amp;'Appendix A'!A36&amp;""</f>
        <v>Appendix A, Line 19</v>
      </c>
      <c r="K21" s="323" t="str">
        <f>"Appendix A, Line "&amp;'Appendix A'!A37&amp;""</f>
        <v>Appendix A, Line 20</v>
      </c>
      <c r="L21" s="323" t="str">
        <f>"Appendix A, Line "&amp;'Appendix A'!A38&amp;""</f>
        <v>Appendix A, Line 21</v>
      </c>
      <c r="M21" s="323" t="str">
        <f>"Appendix A, Line "&amp;'Appendix A'!A42&amp;""</f>
        <v>Appendix A, Line 23</v>
      </c>
      <c r="N21" s="323" t="str">
        <f>"Appendix A, Line "&amp;'Appendix A'!A43&amp;""</f>
        <v>Appendix A, Line 24</v>
      </c>
      <c r="O21" s="323" t="str">
        <f>"Appendix A, Line "&amp;'Appendix A'!A46&amp;""</f>
        <v>Appendix A, Line 26</v>
      </c>
      <c r="P21" s="323" t="str">
        <f>"Appendix A, Line "&amp;'Appendix A'!A54&amp;""</f>
        <v>Appendix A, Line 32</v>
      </c>
      <c r="Q21" s="337"/>
    </row>
    <row r="22" spans="1:17" ht="16.5" thickBot="1">
      <c r="A22" s="313"/>
      <c r="B22" s="53"/>
      <c r="C22" s="53"/>
      <c r="D22" s="53"/>
      <c r="E22" s="53"/>
      <c r="F22" s="53"/>
      <c r="G22" s="53"/>
      <c r="H22" s="53"/>
      <c r="I22" s="53"/>
      <c r="J22" s="53"/>
      <c r="K22" s="53"/>
      <c r="L22" s="53"/>
      <c r="M22" s="53"/>
      <c r="N22" s="53"/>
      <c r="O22" s="53"/>
      <c r="P22" s="53"/>
      <c r="Q22" s="53"/>
    </row>
    <row r="23" spans="1:17" ht="45.75">
      <c r="A23" s="313"/>
      <c r="B23" s="326"/>
      <c r="C23" s="327"/>
      <c r="D23" s="338" t="s">
        <v>383</v>
      </c>
      <c r="E23" s="338" t="s">
        <v>371</v>
      </c>
      <c r="F23" s="338" t="s">
        <v>384</v>
      </c>
      <c r="G23" s="327"/>
      <c r="H23" s="339" t="s">
        <v>523</v>
      </c>
      <c r="I23" s="327"/>
      <c r="J23" s="339" t="s">
        <v>385</v>
      </c>
      <c r="K23" s="340"/>
      <c r="L23" s="339" t="s">
        <v>524</v>
      </c>
      <c r="M23" s="341" t="s">
        <v>388</v>
      </c>
      <c r="N23" s="53"/>
      <c r="O23" s="53"/>
      <c r="P23" s="53"/>
      <c r="Q23" s="53"/>
    </row>
    <row r="24" spans="1:17" ht="60.75">
      <c r="A24" s="313"/>
      <c r="B24" s="328" t="s">
        <v>456</v>
      </c>
      <c r="C24" s="53"/>
      <c r="D24" s="324" t="str">
        <f>"Col. "&amp;Q6&amp;""</f>
        <v>Col. (m)</v>
      </c>
      <c r="E24" s="324" t="str">
        <f>"Attachment 6, Line "&amp;'6-Project Cost of Capital'!A11&amp;", Line "&amp;'6-Project Cost of Capital'!A20&amp;", Line "&amp;'6-Project Cost of Capital'!A29&amp;", or Line "&amp;'6-Project Cost of Capital'!A38&amp;""</f>
        <v>Attachment 6, Line 4, Line 8, Line 12, or Line 16</v>
      </c>
      <c r="F24" s="324" t="str">
        <f>"Col. "&amp;D6&amp;" * Col. "&amp;E6&amp;""</f>
        <v>Col. (b) * Col. (c)</v>
      </c>
      <c r="H24" s="324"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24" t="str">
        <f>"Col. "&amp;D6&amp;" * Col. "&amp;H6&amp;""</f>
        <v>Col. (b) * Col. (e)</v>
      </c>
      <c r="K24" s="296"/>
      <c r="L24" s="324" t="str">
        <f>"Attachment 6, Line "&amp;'6-Project Cost of Capital'!A8&amp;", Line "&amp;'6-Project Cost of Capital'!A17&amp;", Line "&amp;'6-Project Cost of Capital'!A26&amp;" or Line "&amp;'6-Project Cost of Capital'!A35&amp;""</f>
        <v>Attachment 6, Line 1, Line 5, Line 9 or Line 13</v>
      </c>
      <c r="M24" s="322" t="str">
        <f>"Col. "&amp;D6&amp;" * Col. "&amp;L6&amp;""</f>
        <v>Col. (b) * Col. (h)</v>
      </c>
      <c r="N24" s="53"/>
      <c r="O24" s="53"/>
      <c r="P24" s="53"/>
      <c r="Q24" s="53"/>
    </row>
    <row r="25" spans="1:17" ht="30.75">
      <c r="A25" s="313">
        <f>+A20+1</f>
        <v>7</v>
      </c>
      <c r="B25" s="342" t="str">
        <f>+B10</f>
        <v>Project Grouping 1</v>
      </c>
      <c r="C25" s="53"/>
      <c r="D25" s="343" t="e">
        <f>+Q10</f>
        <v>#DIV/0!</v>
      </c>
      <c r="E25" s="344" t="e">
        <f>+'6-Project Cost of Capital'!G11</f>
        <v>#DIV/0!</v>
      </c>
      <c r="F25" s="58" t="e">
        <f>+D25*E25</f>
        <v>#DIV/0!</v>
      </c>
      <c r="G25" s="53"/>
      <c r="H25" s="51">
        <f>+'6-Project Cost of Capital'!G9+'6-Project Cost of Capital'!G10</f>
        <v>0</v>
      </c>
      <c r="I25" s="53"/>
      <c r="J25" s="58" t="e">
        <f>+D25*H25</f>
        <v>#DIV/0!</v>
      </c>
      <c r="K25" s="319"/>
      <c r="L25" s="51" t="e">
        <f>+'6-Project Cost of Capital'!G8</f>
        <v>#DIV/0!</v>
      </c>
      <c r="M25" s="330" t="e">
        <f>+D25*L25</f>
        <v>#DIV/0!</v>
      </c>
      <c r="N25" s="53"/>
      <c r="O25" s="53"/>
      <c r="P25" s="53"/>
      <c r="Q25" s="53"/>
    </row>
    <row r="26" spans="1:17" ht="15.75">
      <c r="A26" s="313"/>
      <c r="B26" s="328"/>
      <c r="C26" s="53"/>
      <c r="D26" s="53"/>
      <c r="E26" s="53"/>
      <c r="F26" s="53"/>
      <c r="G26" s="53"/>
      <c r="H26" s="51"/>
      <c r="I26" s="53"/>
      <c r="J26" s="53"/>
      <c r="K26" s="319"/>
      <c r="L26" s="51"/>
      <c r="M26" s="345"/>
      <c r="N26" s="53"/>
      <c r="O26" s="53"/>
      <c r="P26" s="53"/>
      <c r="Q26" s="53"/>
    </row>
    <row r="27" spans="1:17" ht="30.75">
      <c r="A27" s="313">
        <f>+A25+1</f>
        <v>8</v>
      </c>
      <c r="B27" s="342" t="str">
        <f t="shared" ref="B27:B31" si="4">+B12</f>
        <v>Project Grouping 2</v>
      </c>
      <c r="C27" s="53"/>
      <c r="D27" s="343" t="e">
        <f>+Q12</f>
        <v>#DIV/0!</v>
      </c>
      <c r="E27" s="344" t="e">
        <f>+'6-Project Cost of Capital'!G20</f>
        <v>#DIV/0!</v>
      </c>
      <c r="F27" s="58" t="e">
        <f>+D27*E27</f>
        <v>#DIV/0!</v>
      </c>
      <c r="G27" s="53"/>
      <c r="H27" s="51">
        <f>+'6-Project Cost of Capital'!G18+'6-Project Cost of Capital'!G19</f>
        <v>0</v>
      </c>
      <c r="I27" s="53"/>
      <c r="J27" s="58" t="e">
        <f>+D27*H27</f>
        <v>#DIV/0!</v>
      </c>
      <c r="K27" s="319"/>
      <c r="L27" s="51" t="e">
        <f>+'6-Project Cost of Capital'!G17</f>
        <v>#DIV/0!</v>
      </c>
      <c r="M27" s="330" t="e">
        <f>+D27*L27</f>
        <v>#DIV/0!</v>
      </c>
      <c r="N27" s="53"/>
      <c r="O27" s="53"/>
      <c r="P27" s="53"/>
      <c r="Q27" s="53"/>
    </row>
    <row r="28" spans="1:17" ht="15.75">
      <c r="A28" s="313"/>
      <c r="B28" s="328"/>
      <c r="C28" s="53"/>
      <c r="D28" s="53"/>
      <c r="E28" s="53"/>
      <c r="F28" s="53"/>
      <c r="G28" s="53"/>
      <c r="H28" s="51"/>
      <c r="I28" s="53"/>
      <c r="J28" s="53"/>
      <c r="K28" s="319"/>
      <c r="L28" s="51"/>
      <c r="M28" s="345"/>
      <c r="N28" s="53"/>
      <c r="O28" s="53"/>
      <c r="P28" s="53"/>
      <c r="Q28" s="53"/>
    </row>
    <row r="29" spans="1:17" ht="30.75">
      <c r="A29" s="313">
        <f>+A27+1</f>
        <v>9</v>
      </c>
      <c r="B29" s="342" t="str">
        <f t="shared" si="4"/>
        <v>Project Grouping 3</v>
      </c>
      <c r="C29" s="53"/>
      <c r="D29" s="343" t="e">
        <f>+Q14</f>
        <v>#DIV/0!</v>
      </c>
      <c r="E29" s="344" t="e">
        <f>+'6-Project Cost of Capital'!G29</f>
        <v>#DIV/0!</v>
      </c>
      <c r="F29" s="58" t="e">
        <f>+D29*E29</f>
        <v>#DIV/0!</v>
      </c>
      <c r="G29" s="53"/>
      <c r="H29" s="51">
        <f>+'6-Project Cost of Capital'!G27+'6-Project Cost of Capital'!G28</f>
        <v>0</v>
      </c>
      <c r="I29" s="53"/>
      <c r="J29" s="58" t="e">
        <f>+D29*H29</f>
        <v>#DIV/0!</v>
      </c>
      <c r="K29" s="319"/>
      <c r="L29" s="51" t="e">
        <f>+'6-Project Cost of Capital'!G26</f>
        <v>#DIV/0!</v>
      </c>
      <c r="M29" s="330" t="e">
        <f>+D29*L29</f>
        <v>#DIV/0!</v>
      </c>
      <c r="N29" s="53"/>
      <c r="O29" s="53"/>
      <c r="P29" s="53"/>
      <c r="Q29" s="53"/>
    </row>
    <row r="30" spans="1:17" ht="15.75">
      <c r="A30" s="313"/>
      <c r="B30" s="328"/>
      <c r="C30" s="53"/>
      <c r="D30" s="53"/>
      <c r="E30" s="53"/>
      <c r="F30" s="53"/>
      <c r="G30" s="53"/>
      <c r="H30" s="51"/>
      <c r="I30" s="53"/>
      <c r="J30" s="53"/>
      <c r="K30" s="319"/>
      <c r="L30" s="51"/>
      <c r="M30" s="345"/>
      <c r="N30" s="53"/>
      <c r="O30" s="53"/>
      <c r="P30" s="53"/>
      <c r="Q30" s="53"/>
    </row>
    <row r="31" spans="1:17" ht="30.75">
      <c r="A31" s="313">
        <f>A29+1</f>
        <v>10</v>
      </c>
      <c r="B31" s="342" t="str">
        <f t="shared" si="4"/>
        <v>Project Grouping 4</v>
      </c>
      <c r="C31" s="53"/>
      <c r="D31" s="343" t="e">
        <f>+Q16</f>
        <v>#DIV/0!</v>
      </c>
      <c r="E31" s="344" t="e">
        <f>+'6-Project Cost of Capital'!G38</f>
        <v>#DIV/0!</v>
      </c>
      <c r="F31" s="58" t="e">
        <f>+D31*E31</f>
        <v>#DIV/0!</v>
      </c>
      <c r="G31" s="53"/>
      <c r="H31" s="51">
        <f>+'6-Project Cost of Capital'!G36+'6-Project Cost of Capital'!G37</f>
        <v>0</v>
      </c>
      <c r="I31" s="53"/>
      <c r="J31" s="58" t="e">
        <f>+D31*H31</f>
        <v>#DIV/0!</v>
      </c>
      <c r="K31" s="319"/>
      <c r="L31" s="51" t="e">
        <f>+'6-Project Cost of Capital'!G35</f>
        <v>#DIV/0!</v>
      </c>
      <c r="M31" s="330" t="e">
        <f>+D31*L31</f>
        <v>#DIV/0!</v>
      </c>
      <c r="N31" s="53"/>
      <c r="O31" s="53"/>
      <c r="P31" s="53"/>
      <c r="Q31" s="53"/>
    </row>
    <row r="33" spans="1:13" ht="15.75">
      <c r="A33" s="313">
        <f>+A31+1</f>
        <v>11</v>
      </c>
      <c r="B33" s="346"/>
      <c r="C33" s="53"/>
      <c r="D33" s="325"/>
      <c r="E33" s="196"/>
      <c r="F33" s="325"/>
      <c r="G33" s="53"/>
      <c r="H33" s="320"/>
      <c r="I33" s="53"/>
      <c r="J33" s="325"/>
      <c r="K33" s="319"/>
      <c r="L33" s="320"/>
      <c r="M33" s="347"/>
    </row>
    <row r="34" spans="1:13" ht="15.75">
      <c r="A34" s="313"/>
      <c r="B34" s="328"/>
      <c r="C34" s="53"/>
      <c r="D34" s="53"/>
      <c r="E34" s="53"/>
      <c r="F34" s="53"/>
      <c r="G34" s="53"/>
      <c r="H34" s="53"/>
      <c r="I34" s="53"/>
      <c r="J34" s="53"/>
      <c r="K34" s="53"/>
      <c r="L34" s="53"/>
      <c r="M34" s="345"/>
    </row>
    <row r="35" spans="1:13" ht="16.5" thickBot="1">
      <c r="A35" s="313">
        <f>+A33+1</f>
        <v>12</v>
      </c>
      <c r="B35" s="334" t="s">
        <v>9</v>
      </c>
      <c r="C35" s="335"/>
      <c r="D35" s="348" t="e">
        <f>+SUM(D25:D33)</f>
        <v>#DIV/0!</v>
      </c>
      <c r="E35" s="335"/>
      <c r="F35" s="348" t="e">
        <f>+SUM(F25:F33)</f>
        <v>#DIV/0!</v>
      </c>
      <c r="G35" s="335"/>
      <c r="H35" s="335"/>
      <c r="I35" s="335"/>
      <c r="J35" s="348" t="e">
        <f>+SUM(J25:J33)</f>
        <v>#DIV/0!</v>
      </c>
      <c r="K35" s="335"/>
      <c r="L35" s="348"/>
      <c r="M35" s="349" t="e">
        <f>+SUM(M25:M33)</f>
        <v>#DIV/0!</v>
      </c>
    </row>
    <row r="36" spans="1:13" ht="15.75">
      <c r="A36" s="313"/>
      <c r="B36" s="53"/>
      <c r="C36" s="53"/>
      <c r="D36" s="53"/>
      <c r="E36" s="53"/>
      <c r="F36" s="53"/>
      <c r="G36" s="53"/>
      <c r="H36" s="53"/>
      <c r="I36" s="53"/>
      <c r="J36" s="53"/>
      <c r="K36" s="53"/>
      <c r="L36" s="53"/>
      <c r="M36" s="53"/>
    </row>
    <row r="37" spans="1:13" ht="15.75">
      <c r="A37" s="313"/>
      <c r="B37" s="53"/>
      <c r="C37" s="53"/>
      <c r="D37" s="53"/>
      <c r="E37" s="53"/>
      <c r="F37" s="53"/>
      <c r="G37" s="53"/>
      <c r="H37" s="53"/>
      <c r="I37" s="53"/>
      <c r="J37" s="53"/>
      <c r="K37" s="53"/>
      <c r="L37" s="53"/>
      <c r="M37" s="53"/>
    </row>
    <row r="38" spans="1:13" ht="16.5" thickBot="1">
      <c r="A38" s="313"/>
      <c r="B38" s="53"/>
      <c r="C38" s="53"/>
      <c r="D38" s="53"/>
      <c r="E38" s="53"/>
      <c r="F38" s="53"/>
      <c r="G38" s="53"/>
      <c r="H38" s="53"/>
      <c r="I38" s="53"/>
      <c r="J38" s="53"/>
      <c r="K38" s="53"/>
      <c r="L38" s="53"/>
      <c r="M38" s="53"/>
    </row>
    <row r="39" spans="1:13" ht="15.75">
      <c r="A39" s="623"/>
      <c r="B39" s="681" t="s">
        <v>629</v>
      </c>
      <c r="C39" s="682"/>
      <c r="D39" s="682"/>
      <c r="E39" s="682"/>
      <c r="F39" s="682"/>
      <c r="G39" s="682"/>
      <c r="H39" s="682"/>
      <c r="I39" s="682"/>
      <c r="J39" s="683"/>
      <c r="K39" s="621"/>
      <c r="L39" s="53"/>
      <c r="M39" s="53"/>
    </row>
    <row r="40" spans="1:13" ht="30.75">
      <c r="A40" s="623"/>
      <c r="B40" s="629"/>
      <c r="C40" s="625" t="s">
        <v>406</v>
      </c>
      <c r="D40" s="625" t="s">
        <v>407</v>
      </c>
      <c r="E40" s="625" t="s">
        <v>408</v>
      </c>
      <c r="F40" s="624"/>
      <c r="G40" s="624"/>
      <c r="H40" s="624"/>
      <c r="I40" s="624"/>
      <c r="J40" s="632"/>
      <c r="K40" s="621"/>
      <c r="L40" s="53"/>
      <c r="M40" s="53"/>
    </row>
    <row r="41" spans="1:13" ht="30.75">
      <c r="A41" s="626"/>
      <c r="B41" s="629" t="s">
        <v>402</v>
      </c>
      <c r="C41" s="622"/>
      <c r="D41" s="622"/>
      <c r="E41" s="622"/>
      <c r="F41" s="622"/>
      <c r="G41" s="622"/>
      <c r="H41" s="622"/>
      <c r="I41" s="622"/>
      <c r="J41" s="633"/>
      <c r="K41" s="621"/>
      <c r="L41" s="53"/>
      <c r="M41" s="53"/>
    </row>
    <row r="42" spans="1:13" ht="15.75">
      <c r="A42" s="626"/>
      <c r="B42" s="627"/>
      <c r="C42" s="622"/>
      <c r="D42" s="622"/>
      <c r="E42" s="622"/>
      <c r="F42" s="622"/>
      <c r="G42" s="622"/>
      <c r="H42" s="622"/>
      <c r="I42" s="622"/>
      <c r="J42" s="633"/>
      <c r="K42" s="621"/>
    </row>
    <row r="43" spans="1:13" ht="15.75">
      <c r="A43" s="626"/>
      <c r="B43" s="627"/>
      <c r="C43" s="622"/>
      <c r="D43" s="622"/>
      <c r="E43" s="622"/>
      <c r="F43" s="622"/>
      <c r="G43" s="622"/>
      <c r="H43" s="622"/>
      <c r="I43" s="622"/>
      <c r="J43" s="633"/>
      <c r="K43" s="621"/>
    </row>
    <row r="44" spans="1:13" ht="15.75">
      <c r="A44" s="626"/>
      <c r="B44" s="627"/>
      <c r="C44" s="622"/>
      <c r="D44" s="622"/>
      <c r="E44" s="622"/>
      <c r="F44" s="622"/>
      <c r="G44" s="622"/>
      <c r="H44" s="622"/>
      <c r="I44" s="622"/>
      <c r="J44" s="633"/>
      <c r="K44" s="621"/>
    </row>
    <row r="45" spans="1:13" ht="15.75">
      <c r="A45" s="626"/>
      <c r="B45" s="627"/>
      <c r="C45" s="622"/>
      <c r="D45" s="622"/>
      <c r="E45" s="622"/>
      <c r="F45" s="622"/>
      <c r="G45" s="622"/>
      <c r="H45" s="622"/>
      <c r="I45" s="622"/>
      <c r="J45" s="633"/>
      <c r="K45" s="621"/>
    </row>
    <row r="46" spans="1:13" ht="15.75">
      <c r="A46" s="626"/>
      <c r="B46" s="627"/>
      <c r="C46" s="622"/>
      <c r="D46" s="622"/>
      <c r="E46" s="622"/>
      <c r="F46" s="622"/>
      <c r="G46" s="622"/>
      <c r="H46" s="622"/>
      <c r="I46" s="622"/>
      <c r="J46" s="633"/>
      <c r="K46" s="621"/>
    </row>
    <row r="47" spans="1:13" ht="15.75">
      <c r="A47" s="626"/>
      <c r="B47" s="627"/>
      <c r="C47" s="622"/>
      <c r="D47" s="622"/>
      <c r="E47" s="622"/>
      <c r="F47" s="622"/>
      <c r="G47" s="622"/>
      <c r="H47" s="622"/>
      <c r="I47" s="622"/>
      <c r="J47" s="633"/>
      <c r="K47" s="621"/>
    </row>
    <row r="48" spans="1:13" ht="15.75">
      <c r="A48" s="626"/>
      <c r="B48" s="627"/>
      <c r="C48" s="622"/>
      <c r="D48" s="622"/>
      <c r="E48" s="622"/>
      <c r="F48" s="622"/>
      <c r="G48" s="622"/>
      <c r="H48" s="622"/>
      <c r="I48" s="622"/>
      <c r="J48" s="633"/>
      <c r="K48" s="621"/>
    </row>
    <row r="49" spans="1:11" ht="15.75">
      <c r="A49" s="626"/>
      <c r="B49" s="627"/>
      <c r="C49" s="622"/>
      <c r="D49" s="622"/>
      <c r="E49" s="622"/>
      <c r="F49" s="622"/>
      <c r="G49" s="622"/>
      <c r="H49" s="622"/>
      <c r="I49" s="622"/>
      <c r="J49" s="633"/>
      <c r="K49" s="621"/>
    </row>
    <row r="50" spans="1:11" ht="15.75">
      <c r="A50" s="623"/>
      <c r="B50" s="627"/>
      <c r="C50" s="621"/>
      <c r="D50" s="621"/>
      <c r="E50" s="621"/>
      <c r="F50" s="621"/>
      <c r="G50" s="621"/>
      <c r="H50" s="621"/>
      <c r="I50" s="621"/>
      <c r="J50" s="630"/>
      <c r="K50" s="621"/>
    </row>
    <row r="51" spans="1:11" ht="15.75">
      <c r="A51" s="623"/>
      <c r="B51" s="627"/>
      <c r="C51" s="621"/>
      <c r="D51" s="621"/>
      <c r="E51" s="621"/>
      <c r="F51" s="621"/>
      <c r="G51" s="621"/>
      <c r="H51" s="621"/>
      <c r="I51" s="621"/>
      <c r="J51" s="630"/>
      <c r="K51" s="621"/>
    </row>
    <row r="52" spans="1:11" ht="30.75">
      <c r="A52" s="626"/>
      <c r="B52" s="629" t="s">
        <v>403</v>
      </c>
      <c r="C52" s="622"/>
      <c r="D52" s="622"/>
      <c r="E52" s="622"/>
      <c r="F52" s="622"/>
      <c r="G52" s="622"/>
      <c r="H52" s="622"/>
      <c r="I52" s="622"/>
      <c r="J52" s="633"/>
      <c r="K52" s="621"/>
    </row>
    <row r="53" spans="1:11" ht="15.75">
      <c r="A53" s="626"/>
      <c r="B53" s="627"/>
      <c r="C53" s="622"/>
      <c r="D53" s="622"/>
      <c r="E53" s="622"/>
      <c r="F53" s="622"/>
      <c r="G53" s="622"/>
      <c r="H53" s="622"/>
      <c r="I53" s="622"/>
      <c r="J53" s="633"/>
      <c r="K53" s="621"/>
    </row>
    <row r="54" spans="1:11" ht="15.75">
      <c r="A54" s="626"/>
      <c r="B54" s="627"/>
      <c r="C54" s="622"/>
      <c r="D54" s="622"/>
      <c r="E54" s="622"/>
      <c r="F54" s="622"/>
      <c r="G54" s="622"/>
      <c r="H54" s="622"/>
      <c r="I54" s="622"/>
      <c r="J54" s="633"/>
      <c r="K54" s="621"/>
    </row>
    <row r="55" spans="1:11" ht="15.75">
      <c r="A55" s="626"/>
      <c r="B55" s="627"/>
      <c r="C55" s="622"/>
      <c r="D55" s="622"/>
      <c r="E55" s="622"/>
      <c r="F55" s="622"/>
      <c r="G55" s="622"/>
      <c r="H55" s="622"/>
      <c r="I55" s="622"/>
      <c r="J55" s="633"/>
      <c r="K55" s="621"/>
    </row>
    <row r="56" spans="1:11" ht="15.75">
      <c r="A56" s="626"/>
      <c r="B56" s="627"/>
      <c r="C56" s="622"/>
      <c r="D56" s="622"/>
      <c r="E56" s="622"/>
      <c r="F56" s="622"/>
      <c r="G56" s="622"/>
      <c r="H56" s="622"/>
      <c r="I56" s="622"/>
      <c r="J56" s="633"/>
      <c r="K56" s="621"/>
    </row>
    <row r="57" spans="1:11" ht="15.75">
      <c r="A57" s="626"/>
      <c r="B57" s="627"/>
      <c r="C57" s="622"/>
      <c r="D57" s="622"/>
      <c r="E57" s="622"/>
      <c r="F57" s="622"/>
      <c r="G57" s="622"/>
      <c r="H57" s="622"/>
      <c r="I57" s="622"/>
      <c r="J57" s="633"/>
      <c r="K57" s="621"/>
    </row>
    <row r="58" spans="1:11" ht="15.75">
      <c r="A58" s="626"/>
      <c r="B58" s="627"/>
      <c r="C58" s="622"/>
      <c r="D58" s="622"/>
      <c r="E58" s="622"/>
      <c r="F58" s="622"/>
      <c r="G58" s="622"/>
      <c r="H58" s="622"/>
      <c r="I58" s="622"/>
      <c r="J58" s="633"/>
      <c r="K58" s="621"/>
    </row>
    <row r="59" spans="1:11" ht="15.75">
      <c r="A59" s="626"/>
      <c r="B59" s="627"/>
      <c r="C59" s="622"/>
      <c r="D59" s="622"/>
      <c r="E59" s="622"/>
      <c r="F59" s="622"/>
      <c r="G59" s="622"/>
      <c r="H59" s="622"/>
      <c r="I59" s="622"/>
      <c r="J59" s="633"/>
      <c r="K59" s="621"/>
    </row>
    <row r="60" spans="1:11" ht="15.75">
      <c r="A60" s="626"/>
      <c r="B60" s="627"/>
      <c r="C60" s="622"/>
      <c r="D60" s="622"/>
      <c r="E60" s="622"/>
      <c r="F60" s="622"/>
      <c r="G60" s="622"/>
      <c r="H60" s="622"/>
      <c r="I60" s="622"/>
      <c r="J60" s="633"/>
      <c r="K60" s="621"/>
    </row>
    <row r="61" spans="1:11" ht="15.75">
      <c r="A61" s="626"/>
      <c r="B61" s="627"/>
      <c r="C61" s="622"/>
      <c r="D61" s="622"/>
      <c r="E61" s="622"/>
      <c r="F61" s="622"/>
      <c r="G61" s="622"/>
      <c r="H61" s="622"/>
      <c r="I61" s="622"/>
      <c r="J61" s="633"/>
      <c r="K61" s="621"/>
    </row>
    <row r="62" spans="1:11" ht="15.75">
      <c r="A62" s="626"/>
      <c r="B62" s="627"/>
      <c r="C62" s="622"/>
      <c r="D62" s="622"/>
      <c r="E62" s="622"/>
      <c r="F62" s="622"/>
      <c r="G62" s="622"/>
      <c r="H62" s="622"/>
      <c r="I62" s="622"/>
      <c r="J62" s="633"/>
      <c r="K62" s="621"/>
    </row>
    <row r="63" spans="1:11" ht="15.75">
      <c r="A63" s="623"/>
      <c r="B63" s="627"/>
      <c r="C63" s="621"/>
      <c r="D63" s="621"/>
      <c r="E63" s="621"/>
      <c r="F63" s="621"/>
      <c r="G63" s="621"/>
      <c r="H63" s="621"/>
      <c r="I63" s="621"/>
      <c r="J63" s="630"/>
      <c r="K63" s="621"/>
    </row>
    <row r="64" spans="1:11" ht="15.75">
      <c r="A64" s="623"/>
      <c r="B64" s="627"/>
      <c r="C64" s="621"/>
      <c r="D64" s="621"/>
      <c r="E64" s="621"/>
      <c r="F64" s="621"/>
      <c r="G64" s="621"/>
      <c r="H64" s="621"/>
      <c r="I64" s="621"/>
      <c r="J64" s="630"/>
      <c r="K64" s="621"/>
    </row>
    <row r="65" spans="1:11" ht="30.75">
      <c r="A65" s="626"/>
      <c r="B65" s="629" t="s">
        <v>404</v>
      </c>
      <c r="C65" s="622"/>
      <c r="D65" s="622"/>
      <c r="E65" s="622"/>
      <c r="F65" s="622"/>
      <c r="G65" s="622"/>
      <c r="H65" s="622"/>
      <c r="I65" s="622"/>
      <c r="J65" s="633"/>
      <c r="K65" s="621"/>
    </row>
    <row r="66" spans="1:11" ht="15.75">
      <c r="A66" s="626"/>
      <c r="B66" s="627"/>
      <c r="C66" s="622"/>
      <c r="D66" s="622"/>
      <c r="E66" s="622"/>
      <c r="F66" s="622"/>
      <c r="G66" s="622"/>
      <c r="H66" s="622"/>
      <c r="I66" s="622"/>
      <c r="J66" s="633"/>
      <c r="K66" s="621"/>
    </row>
    <row r="67" spans="1:11" ht="15.75">
      <c r="A67" s="626"/>
      <c r="B67" s="627"/>
      <c r="C67" s="622"/>
      <c r="D67" s="622"/>
      <c r="E67" s="622"/>
      <c r="F67" s="622"/>
      <c r="G67" s="622"/>
      <c r="H67" s="622"/>
      <c r="I67" s="622"/>
      <c r="J67" s="633"/>
      <c r="K67" s="621"/>
    </row>
    <row r="68" spans="1:11" ht="15.75">
      <c r="A68" s="626"/>
      <c r="B68" s="627"/>
      <c r="C68" s="622"/>
      <c r="D68" s="622"/>
      <c r="E68" s="622"/>
      <c r="F68" s="622"/>
      <c r="G68" s="622"/>
      <c r="H68" s="622"/>
      <c r="I68" s="622"/>
      <c r="J68" s="633"/>
      <c r="K68" s="621"/>
    </row>
    <row r="69" spans="1:11" ht="15.75">
      <c r="A69" s="626"/>
      <c r="B69" s="627"/>
      <c r="C69" s="622"/>
      <c r="D69" s="622"/>
      <c r="E69" s="622"/>
      <c r="F69" s="622"/>
      <c r="G69" s="622"/>
      <c r="H69" s="622"/>
      <c r="I69" s="622"/>
      <c r="J69" s="633"/>
      <c r="K69" s="621"/>
    </row>
    <row r="70" spans="1:11" ht="15.75">
      <c r="A70" s="626"/>
      <c r="B70" s="627"/>
      <c r="C70" s="622"/>
      <c r="D70" s="622"/>
      <c r="E70" s="622"/>
      <c r="F70" s="622"/>
      <c r="G70" s="622"/>
      <c r="H70" s="622"/>
      <c r="I70" s="622"/>
      <c r="J70" s="633"/>
      <c r="K70" s="621"/>
    </row>
    <row r="71" spans="1:11" ht="15.75">
      <c r="A71" s="626"/>
      <c r="B71" s="627"/>
      <c r="C71" s="622"/>
      <c r="D71" s="622"/>
      <c r="E71" s="622"/>
      <c r="F71" s="622"/>
      <c r="G71" s="622"/>
      <c r="H71" s="622"/>
      <c r="I71" s="622"/>
      <c r="J71" s="633"/>
      <c r="K71" s="621"/>
    </row>
    <row r="72" spans="1:11" ht="15.75">
      <c r="A72" s="626"/>
      <c r="B72" s="627"/>
      <c r="C72" s="622"/>
      <c r="D72" s="622"/>
      <c r="E72" s="622"/>
      <c r="F72" s="622"/>
      <c r="G72" s="622"/>
      <c r="H72" s="622"/>
      <c r="I72" s="622"/>
      <c r="J72" s="633"/>
      <c r="K72" s="621"/>
    </row>
    <row r="73" spans="1:11" ht="15.75">
      <c r="A73" s="626"/>
      <c r="B73" s="627"/>
      <c r="C73" s="622"/>
      <c r="D73" s="622"/>
      <c r="E73" s="622"/>
      <c r="F73" s="622"/>
      <c r="G73" s="622"/>
      <c r="H73" s="622"/>
      <c r="I73" s="622"/>
      <c r="J73" s="633"/>
      <c r="K73" s="621"/>
    </row>
    <row r="74" spans="1:11" ht="15.75">
      <c r="A74" s="626"/>
      <c r="B74" s="627"/>
      <c r="C74" s="622"/>
      <c r="D74" s="622"/>
      <c r="E74" s="622"/>
      <c r="F74" s="622"/>
      <c r="G74" s="622"/>
      <c r="H74" s="622"/>
      <c r="I74" s="622"/>
      <c r="J74" s="633"/>
      <c r="K74" s="621"/>
    </row>
    <row r="75" spans="1:11" ht="15.75">
      <c r="A75" s="626"/>
      <c r="B75" s="627"/>
      <c r="C75" s="622"/>
      <c r="D75" s="622"/>
      <c r="E75" s="622"/>
      <c r="F75" s="622"/>
      <c r="G75" s="622"/>
      <c r="H75" s="622"/>
      <c r="I75" s="622"/>
      <c r="J75" s="633"/>
      <c r="K75" s="621"/>
    </row>
    <row r="76" spans="1:11" ht="15.75">
      <c r="A76" s="626"/>
      <c r="B76" s="627"/>
      <c r="C76" s="622"/>
      <c r="D76" s="622"/>
      <c r="E76" s="622"/>
      <c r="F76" s="622"/>
      <c r="G76" s="622"/>
      <c r="H76" s="622"/>
      <c r="I76" s="622"/>
      <c r="J76" s="633"/>
      <c r="K76" s="621"/>
    </row>
    <row r="77" spans="1:11" ht="15.75">
      <c r="A77" s="626"/>
      <c r="B77" s="627"/>
      <c r="C77" s="622"/>
      <c r="D77" s="622"/>
      <c r="E77" s="622"/>
      <c r="F77" s="622"/>
      <c r="G77" s="622"/>
      <c r="H77" s="622"/>
      <c r="I77" s="622"/>
      <c r="J77" s="633"/>
      <c r="K77" s="621"/>
    </row>
    <row r="78" spans="1:11" ht="15.75">
      <c r="A78" s="623"/>
      <c r="B78" s="627"/>
      <c r="C78" s="621"/>
      <c r="D78" s="621"/>
      <c r="E78" s="621"/>
      <c r="F78" s="621"/>
      <c r="G78" s="621"/>
      <c r="H78" s="621"/>
      <c r="I78" s="621"/>
      <c r="J78" s="630"/>
      <c r="K78" s="621"/>
    </row>
    <row r="79" spans="1:11" ht="15.75">
      <c r="A79" s="623"/>
      <c r="B79" s="627"/>
      <c r="C79" s="621"/>
      <c r="D79" s="621"/>
      <c r="E79" s="621"/>
      <c r="F79" s="621"/>
      <c r="G79" s="621"/>
      <c r="H79" s="621"/>
      <c r="I79" s="621"/>
      <c r="J79" s="630"/>
      <c r="K79" s="621"/>
    </row>
    <row r="80" spans="1:11" ht="30.75">
      <c r="A80" s="626"/>
      <c r="B80" s="629" t="s">
        <v>405</v>
      </c>
      <c r="C80" s="622"/>
      <c r="D80" s="622"/>
      <c r="E80" s="622"/>
      <c r="F80" s="622"/>
      <c r="G80" s="622"/>
      <c r="H80" s="622"/>
      <c r="I80" s="622"/>
      <c r="J80" s="633"/>
      <c r="K80" s="621"/>
    </row>
    <row r="81" spans="1:11" ht="15.75">
      <c r="A81" s="626"/>
      <c r="B81" s="627"/>
      <c r="C81" s="622"/>
      <c r="D81" s="622"/>
      <c r="E81" s="622"/>
      <c r="F81" s="622"/>
      <c r="G81" s="622"/>
      <c r="H81" s="622"/>
      <c r="I81" s="622"/>
      <c r="J81" s="633"/>
      <c r="K81" s="621"/>
    </row>
    <row r="82" spans="1:11" ht="15.75">
      <c r="A82" s="626"/>
      <c r="B82" s="627"/>
      <c r="C82" s="622"/>
      <c r="D82" s="622"/>
      <c r="E82" s="622"/>
      <c r="F82" s="622"/>
      <c r="G82" s="622"/>
      <c r="H82" s="622"/>
      <c r="I82" s="622"/>
      <c r="J82" s="633"/>
      <c r="K82" s="621"/>
    </row>
    <row r="83" spans="1:11" ht="15.75">
      <c r="A83" s="626"/>
      <c r="B83" s="627"/>
      <c r="C83" s="622"/>
      <c r="D83" s="622"/>
      <c r="E83" s="622"/>
      <c r="F83" s="622"/>
      <c r="G83" s="622"/>
      <c r="H83" s="622"/>
      <c r="I83" s="622"/>
      <c r="J83" s="633"/>
      <c r="K83" s="621"/>
    </row>
    <row r="84" spans="1:11" ht="15.75">
      <c r="A84" s="626"/>
      <c r="B84" s="627"/>
      <c r="C84" s="622"/>
      <c r="D84" s="622"/>
      <c r="E84" s="622"/>
      <c r="F84" s="622"/>
      <c r="G84" s="622"/>
      <c r="H84" s="622"/>
      <c r="I84" s="622"/>
      <c r="J84" s="633"/>
      <c r="K84" s="621"/>
    </row>
    <row r="85" spans="1:11" ht="15.75">
      <c r="A85" s="626"/>
      <c r="B85" s="627"/>
      <c r="C85" s="622"/>
      <c r="D85" s="622"/>
      <c r="E85" s="622"/>
      <c r="F85" s="622"/>
      <c r="G85" s="622"/>
      <c r="H85" s="622"/>
      <c r="I85" s="622"/>
      <c r="J85" s="633"/>
      <c r="K85" s="621"/>
    </row>
    <row r="86" spans="1:11" ht="15.75">
      <c r="A86" s="626"/>
      <c r="B86" s="627"/>
      <c r="C86" s="622"/>
      <c r="D86" s="622"/>
      <c r="E86" s="622"/>
      <c r="F86" s="622"/>
      <c r="G86" s="622"/>
      <c r="H86" s="622"/>
      <c r="I86" s="622"/>
      <c r="J86" s="633"/>
      <c r="K86" s="621"/>
    </row>
    <row r="87" spans="1:11" ht="15.75">
      <c r="A87" s="626"/>
      <c r="B87" s="627"/>
      <c r="C87" s="622"/>
      <c r="D87" s="622"/>
      <c r="E87" s="622"/>
      <c r="F87" s="622"/>
      <c r="G87" s="622"/>
      <c r="H87" s="622"/>
      <c r="I87" s="622"/>
      <c r="J87" s="633"/>
      <c r="K87" s="621"/>
    </row>
    <row r="88" spans="1:11" ht="15.75">
      <c r="A88" s="626"/>
      <c r="B88" s="627"/>
      <c r="C88" s="622"/>
      <c r="D88" s="622"/>
      <c r="E88" s="622"/>
      <c r="F88" s="622"/>
      <c r="G88" s="622"/>
      <c r="H88" s="622"/>
      <c r="I88" s="622"/>
      <c r="J88" s="633"/>
      <c r="K88" s="621"/>
    </row>
    <row r="89" spans="1:11" ht="15.75">
      <c r="A89" s="626"/>
      <c r="B89" s="627"/>
      <c r="C89" s="622"/>
      <c r="D89" s="622"/>
      <c r="E89" s="622"/>
      <c r="F89" s="622"/>
      <c r="G89" s="622"/>
      <c r="H89" s="622"/>
      <c r="I89" s="622"/>
      <c r="J89" s="633"/>
      <c r="K89" s="621"/>
    </row>
    <row r="90" spans="1:11" ht="15.75">
      <c r="A90" s="626"/>
      <c r="B90" s="627"/>
      <c r="C90" s="622"/>
      <c r="D90" s="622"/>
      <c r="E90" s="622"/>
      <c r="F90" s="622"/>
      <c r="G90" s="622"/>
      <c r="H90" s="622"/>
      <c r="I90" s="622"/>
      <c r="J90" s="633"/>
      <c r="K90" s="621"/>
    </row>
    <row r="91" spans="1:11" ht="15.75">
      <c r="A91" s="626"/>
      <c r="B91" s="627"/>
      <c r="C91" s="622"/>
      <c r="D91" s="622"/>
      <c r="E91" s="622"/>
      <c r="F91" s="622"/>
      <c r="G91" s="622"/>
      <c r="H91" s="622"/>
      <c r="I91" s="622"/>
      <c r="J91" s="633"/>
      <c r="K91" s="621"/>
    </row>
    <row r="92" spans="1:11" ht="15.75">
      <c r="A92" s="626"/>
      <c r="B92" s="627"/>
      <c r="C92" s="622"/>
      <c r="D92" s="622"/>
      <c r="E92" s="622"/>
      <c r="F92" s="622"/>
      <c r="G92" s="622"/>
      <c r="H92" s="622"/>
      <c r="I92" s="622"/>
      <c r="J92" s="633"/>
      <c r="K92" s="621"/>
    </row>
    <row r="93" spans="1:11" ht="15.75">
      <c r="A93" s="623"/>
      <c r="B93" s="627"/>
      <c r="C93" s="621"/>
      <c r="D93" s="621"/>
      <c r="E93" s="621"/>
      <c r="F93" s="621"/>
      <c r="G93" s="621"/>
      <c r="H93" s="621"/>
      <c r="I93" s="621"/>
      <c r="J93" s="630"/>
      <c r="K93" s="621"/>
    </row>
    <row r="94" spans="1:11" ht="15.75">
      <c r="A94" s="623"/>
      <c r="B94" s="627"/>
      <c r="C94" s="621"/>
      <c r="D94" s="621"/>
      <c r="E94" s="621"/>
      <c r="F94" s="621"/>
      <c r="G94" s="621"/>
      <c r="H94" s="621"/>
      <c r="I94" s="621"/>
      <c r="J94" s="630"/>
      <c r="K94" s="621"/>
    </row>
    <row r="95" spans="1:11" ht="15.75">
      <c r="A95" s="626"/>
      <c r="B95" s="631"/>
      <c r="C95" s="622"/>
      <c r="D95" s="622"/>
      <c r="E95" s="622"/>
      <c r="F95" s="622"/>
      <c r="G95" s="622"/>
      <c r="H95" s="622"/>
      <c r="I95" s="622"/>
      <c r="J95" s="633"/>
      <c r="K95" s="621"/>
    </row>
    <row r="96" spans="1:11" ht="15.75">
      <c r="A96" s="626"/>
      <c r="B96" s="627"/>
      <c r="C96" s="622"/>
      <c r="D96" s="622"/>
      <c r="E96" s="622"/>
      <c r="F96" s="622"/>
      <c r="G96" s="622"/>
      <c r="H96" s="622"/>
      <c r="I96" s="622"/>
      <c r="J96" s="633"/>
      <c r="K96" s="621"/>
    </row>
    <row r="97" spans="1:11" ht="15.75">
      <c r="A97" s="626"/>
      <c r="B97" s="627"/>
      <c r="C97" s="622"/>
      <c r="D97" s="622"/>
      <c r="E97" s="622"/>
      <c r="F97" s="622"/>
      <c r="G97" s="622"/>
      <c r="H97" s="622"/>
      <c r="I97" s="622"/>
      <c r="J97" s="633"/>
      <c r="K97" s="621"/>
    </row>
    <row r="98" spans="1:11" ht="15.75">
      <c r="A98" s="626"/>
      <c r="B98" s="627"/>
      <c r="C98" s="622"/>
      <c r="D98" s="622"/>
      <c r="E98" s="622"/>
      <c r="F98" s="622"/>
      <c r="G98" s="622"/>
      <c r="H98" s="622"/>
      <c r="I98" s="622"/>
      <c r="J98" s="633"/>
      <c r="K98" s="621"/>
    </row>
    <row r="99" spans="1:11" ht="15.75">
      <c r="A99" s="626"/>
      <c r="B99" s="627"/>
      <c r="C99" s="622"/>
      <c r="D99" s="622"/>
      <c r="E99" s="622"/>
      <c r="F99" s="622"/>
      <c r="G99" s="622"/>
      <c r="H99" s="622"/>
      <c r="I99" s="622"/>
      <c r="J99" s="633"/>
      <c r="K99" s="621"/>
    </row>
    <row r="100" spans="1:11" ht="15.75">
      <c r="A100" s="626"/>
      <c r="B100" s="627"/>
      <c r="C100" s="622"/>
      <c r="D100" s="622"/>
      <c r="E100" s="622"/>
      <c r="F100" s="622"/>
      <c r="G100" s="622"/>
      <c r="H100" s="622"/>
      <c r="I100" s="622"/>
      <c r="J100" s="633"/>
      <c r="K100" s="621"/>
    </row>
    <row r="101" spans="1:11" ht="15.75">
      <c r="A101" s="626"/>
      <c r="B101" s="627"/>
      <c r="C101" s="622"/>
      <c r="D101" s="622"/>
      <c r="E101" s="622"/>
      <c r="F101" s="622"/>
      <c r="G101" s="622"/>
      <c r="H101" s="622"/>
      <c r="I101" s="622"/>
      <c r="J101" s="633"/>
      <c r="K101" s="621"/>
    </row>
    <row r="102" spans="1:11" ht="15.75">
      <c r="A102" s="626"/>
      <c r="B102" s="627"/>
      <c r="C102" s="622"/>
      <c r="D102" s="622"/>
      <c r="E102" s="622"/>
      <c r="F102" s="622"/>
      <c r="G102" s="622"/>
      <c r="H102" s="622"/>
      <c r="I102" s="622"/>
      <c r="J102" s="633"/>
      <c r="K102" s="621"/>
    </row>
    <row r="103" spans="1:11" ht="15.75">
      <c r="A103" s="626"/>
      <c r="B103" s="627"/>
      <c r="C103" s="622"/>
      <c r="D103" s="622"/>
      <c r="E103" s="622"/>
      <c r="F103" s="622"/>
      <c r="G103" s="622"/>
      <c r="H103" s="622"/>
      <c r="I103" s="622"/>
      <c r="J103" s="633"/>
      <c r="K103" s="621"/>
    </row>
    <row r="104" spans="1:11" ht="15.75">
      <c r="A104" s="626"/>
      <c r="B104" s="627"/>
      <c r="C104" s="622"/>
      <c r="D104" s="622"/>
      <c r="E104" s="622"/>
      <c r="F104" s="622"/>
      <c r="G104" s="622"/>
      <c r="H104" s="622"/>
      <c r="I104" s="622"/>
      <c r="J104" s="633"/>
      <c r="K104" s="621"/>
    </row>
    <row r="105" spans="1:11" ht="15.75">
      <c r="A105" s="626"/>
      <c r="B105" s="627"/>
      <c r="C105" s="622"/>
      <c r="D105" s="622"/>
      <c r="E105" s="622"/>
      <c r="F105" s="622"/>
      <c r="G105" s="622"/>
      <c r="H105" s="622"/>
      <c r="I105" s="622"/>
      <c r="J105" s="633"/>
      <c r="K105" s="621"/>
    </row>
    <row r="106" spans="1:11" ht="16.5" thickBot="1">
      <c r="A106" s="626"/>
      <c r="B106" s="628"/>
      <c r="C106" s="634"/>
      <c r="D106" s="634"/>
      <c r="E106" s="634"/>
      <c r="F106" s="634"/>
      <c r="G106" s="634"/>
      <c r="H106" s="634"/>
      <c r="I106" s="634"/>
      <c r="J106" s="635"/>
      <c r="K106" s="621"/>
    </row>
    <row r="107" spans="1:11" ht="15.75">
      <c r="A107" s="623"/>
      <c r="B107" s="621"/>
      <c r="C107" s="621"/>
      <c r="D107" s="621"/>
      <c r="E107" s="621"/>
      <c r="F107" s="621"/>
      <c r="G107" s="621"/>
      <c r="H107" s="621"/>
      <c r="I107" s="621"/>
      <c r="J107" s="621"/>
      <c r="K107" s="621"/>
    </row>
  </sheetData>
  <mergeCells count="6">
    <mergeCell ref="B39:J39"/>
    <mergeCell ref="D7:H7"/>
    <mergeCell ref="B1:R1"/>
    <mergeCell ref="B2:R2"/>
    <mergeCell ref="B3:R3"/>
    <mergeCell ref="J7:Q7"/>
  </mergeCells>
  <pageMargins left="0.7" right="0.7" top="0.75" bottom="0.75" header="0.3" footer="0.3"/>
  <pageSetup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M102"/>
  <sheetViews>
    <sheetView zoomScale="90" zoomScaleNormal="90" zoomScaleSheetLayoutView="100" zoomScalePageLayoutView="80" workbookViewId="0">
      <selection activeCell="M9" sqref="M9"/>
    </sheetView>
  </sheetViews>
  <sheetFormatPr defaultColWidth="9.140625" defaultRowHeight="15"/>
  <cols>
    <col min="1" max="1" width="6.28515625" style="50" customWidth="1"/>
    <col min="2" max="2" width="30.42578125" style="45" customWidth="1"/>
    <col min="3" max="4" width="17.85546875" style="45" customWidth="1"/>
    <col min="5" max="5" width="19.28515625" style="50" customWidth="1"/>
    <col min="6" max="6" width="17.85546875" style="45" customWidth="1"/>
    <col min="7" max="7" width="9.7109375" style="45" customWidth="1"/>
    <col min="8" max="8" width="18.28515625" style="45" customWidth="1"/>
    <col min="9" max="9" width="17.28515625" style="45" customWidth="1"/>
    <col min="10" max="10" width="18.42578125" style="45" bestFit="1" customWidth="1"/>
    <col min="11" max="11" width="20" style="45" customWidth="1"/>
    <col min="12" max="12" width="28.85546875" style="45" customWidth="1"/>
    <col min="13" max="13" width="10" style="45" customWidth="1"/>
    <col min="14" max="14" width="16.28515625" style="45" customWidth="1"/>
    <col min="15" max="15" width="33.5703125" style="45" bestFit="1" customWidth="1"/>
    <col min="16" max="16384" width="9.140625" style="45"/>
  </cols>
  <sheetData>
    <row r="1" spans="1:13" ht="15.75">
      <c r="A1" s="688" t="s">
        <v>576</v>
      </c>
      <c r="B1" s="688"/>
      <c r="C1" s="688"/>
      <c r="D1" s="688"/>
      <c r="E1" s="688"/>
      <c r="F1" s="688"/>
      <c r="G1" s="688"/>
      <c r="H1" s="688"/>
      <c r="I1" s="688"/>
      <c r="J1" s="688"/>
      <c r="K1" s="688"/>
      <c r="L1" s="688"/>
      <c r="M1" s="688"/>
    </row>
    <row r="2" spans="1:13" ht="15.75">
      <c r="A2" s="688" t="s">
        <v>549</v>
      </c>
      <c r="B2" s="688"/>
      <c r="C2" s="688"/>
      <c r="D2" s="688"/>
      <c r="E2" s="688"/>
      <c r="F2" s="688"/>
      <c r="G2" s="688"/>
      <c r="H2" s="688"/>
      <c r="I2" s="688"/>
      <c r="J2" s="688"/>
      <c r="K2" s="688"/>
      <c r="L2" s="688"/>
      <c r="M2" s="688"/>
    </row>
    <row r="3" spans="1:13" ht="15.75">
      <c r="A3" s="689" t="str">
        <f>+'Appendix A'!H3</f>
        <v>Projected ATRR or Actual ATRR for the 12 Months Ended 12/31/XXXX</v>
      </c>
      <c r="B3" s="689"/>
      <c r="C3" s="689"/>
      <c r="D3" s="689"/>
      <c r="E3" s="689"/>
      <c r="F3" s="689"/>
      <c r="G3" s="689"/>
      <c r="H3" s="689"/>
      <c r="I3" s="689"/>
      <c r="J3" s="689"/>
      <c r="K3" s="689"/>
      <c r="L3" s="689"/>
      <c r="M3" s="689"/>
    </row>
    <row r="4" spans="1:13" ht="15.75">
      <c r="A4" s="385"/>
      <c r="B4" s="44"/>
      <c r="C4" s="44"/>
      <c r="D4" s="44"/>
      <c r="E4" s="44"/>
      <c r="F4" s="44"/>
      <c r="G4" s="44"/>
      <c r="H4" s="44"/>
      <c r="I4" s="44"/>
      <c r="J4" s="44"/>
      <c r="K4" s="44"/>
      <c r="L4" s="44"/>
    </row>
    <row r="5" spans="1:13" ht="15.75">
      <c r="A5" s="385"/>
      <c r="B5" s="44"/>
      <c r="C5" s="44" t="s">
        <v>68</v>
      </c>
      <c r="D5" s="44" t="s">
        <v>69</v>
      </c>
      <c r="E5" s="44" t="s">
        <v>70</v>
      </c>
      <c r="F5" s="44" t="s">
        <v>71</v>
      </c>
      <c r="G5" s="44" t="s">
        <v>72</v>
      </c>
      <c r="H5" s="386" t="s">
        <v>73</v>
      </c>
      <c r="I5" s="386" t="s">
        <v>74</v>
      </c>
      <c r="J5" s="386" t="s">
        <v>75</v>
      </c>
      <c r="K5" s="386" t="s">
        <v>92</v>
      </c>
      <c r="L5" s="386" t="s">
        <v>93</v>
      </c>
      <c r="M5" s="386" t="s">
        <v>97</v>
      </c>
    </row>
    <row r="6" spans="1:13" ht="16.5" thickBot="1">
      <c r="A6" s="47" t="s">
        <v>122</v>
      </c>
      <c r="B6" s="572" t="s">
        <v>367</v>
      </c>
      <c r="C6" s="44"/>
      <c r="E6" s="44" t="s">
        <v>609</v>
      </c>
      <c r="F6" s="44"/>
      <c r="G6" s="44"/>
      <c r="H6" s="44"/>
      <c r="I6" s="44"/>
      <c r="J6" s="44"/>
      <c r="K6" s="44"/>
      <c r="L6" s="44"/>
    </row>
    <row r="7" spans="1:13" ht="15.75">
      <c r="A7" s="385"/>
      <c r="B7" s="288"/>
      <c r="C7" s="289"/>
      <c r="D7" s="289" t="s">
        <v>368</v>
      </c>
      <c r="E7" s="289" t="s">
        <v>369</v>
      </c>
      <c r="F7" s="289" t="s">
        <v>370</v>
      </c>
      <c r="G7" s="289" t="s">
        <v>371</v>
      </c>
      <c r="H7" s="289"/>
      <c r="I7" s="289"/>
      <c r="J7" s="289"/>
      <c r="K7" s="289"/>
      <c r="L7" s="289"/>
      <c r="M7" s="387"/>
    </row>
    <row r="8" spans="1:13">
      <c r="A8" s="385">
        <v>1</v>
      </c>
      <c r="B8" s="355" t="s">
        <v>144</v>
      </c>
      <c r="C8" s="388" t="str">
        <f>"Line "&amp;A$58&amp;", Col. "&amp;K$5&amp;""</f>
        <v>Line 30, Col. (i)</v>
      </c>
      <c r="D8" s="357">
        <f>+L58</f>
        <v>0</v>
      </c>
      <c r="E8" s="599">
        <v>0</v>
      </c>
      <c r="F8" s="358" t="e">
        <f>+D64</f>
        <v>#DIV/0!</v>
      </c>
      <c r="G8" s="359" t="e">
        <f>E8*F8</f>
        <v>#DIV/0!</v>
      </c>
      <c r="H8" s="360"/>
      <c r="I8" s="570" t="s">
        <v>630</v>
      </c>
      <c r="J8" s="570"/>
      <c r="K8" s="570"/>
      <c r="L8" s="570"/>
      <c r="M8" s="571">
        <v>0</v>
      </c>
    </row>
    <row r="9" spans="1:13">
      <c r="A9" s="385">
        <f>+A8+1</f>
        <v>2</v>
      </c>
      <c r="B9" s="355" t="s">
        <v>145</v>
      </c>
      <c r="C9" s="388" t="str">
        <f>"Line "&amp;A$58&amp;", Col. "&amp;D$5&amp;""</f>
        <v>Line 30, Col. (b)</v>
      </c>
      <c r="D9" s="362">
        <f>+D58</f>
        <v>0</v>
      </c>
      <c r="E9" s="599">
        <v>0</v>
      </c>
      <c r="F9" s="363">
        <f>+D68</f>
        <v>0</v>
      </c>
      <c r="G9" s="359">
        <f>E9*F9</f>
        <v>0</v>
      </c>
      <c r="H9" s="360"/>
      <c r="I9" s="360" t="s">
        <v>623</v>
      </c>
      <c r="J9" s="360"/>
      <c r="K9" s="360"/>
      <c r="L9" s="360"/>
      <c r="M9" s="361">
        <v>0.106</v>
      </c>
    </row>
    <row r="10" spans="1:13">
      <c r="A10" s="385">
        <f t="shared" ref="A10:A11" si="0">+A9+1</f>
        <v>3</v>
      </c>
      <c r="B10" s="355" t="s">
        <v>146</v>
      </c>
      <c r="C10" s="388" t="str">
        <f>"Line "&amp;A$58&amp;", Col. "&amp;F$5&amp;""</f>
        <v>Line 30, Col. (d)</v>
      </c>
      <c r="D10" s="364">
        <f>+F58</f>
        <v>0</v>
      </c>
      <c r="E10" s="600">
        <v>0</v>
      </c>
      <c r="F10" s="365">
        <f>+IF(M8&gt;M9,M9,M8)</f>
        <v>0</v>
      </c>
      <c r="G10" s="366">
        <f>E10*F10</f>
        <v>0</v>
      </c>
      <c r="H10" s="360"/>
      <c r="I10" s="360"/>
      <c r="J10" s="360"/>
      <c r="K10" s="360"/>
      <c r="L10" s="360"/>
      <c r="M10" s="361"/>
    </row>
    <row r="11" spans="1:13" ht="45.75" thickBot="1">
      <c r="A11" s="385">
        <f t="shared" si="0"/>
        <v>4</v>
      </c>
      <c r="B11" s="367" t="s">
        <v>147</v>
      </c>
      <c r="C11" s="368"/>
      <c r="D11" s="369">
        <f>SUM(D8:D10)</f>
        <v>0</v>
      </c>
      <c r="E11" s="370">
        <f>+SUM(E8:E10)</f>
        <v>0</v>
      </c>
      <c r="F11" s="350" t="str">
        <f>"(Line "&amp;$A$64&amp;", Col. "&amp;$D$5&amp;" or Lines "&amp;A8&amp;" or "&amp;A9&amp;", Col. "&amp;$M$5&amp;")"</f>
        <v>(Line 33, Col. (b) or Lines 1 or 2, Col. (k))</v>
      </c>
      <c r="G11" s="371" t="e">
        <f>SUM(G8:G10)</f>
        <v>#DIV/0!</v>
      </c>
      <c r="H11" s="372"/>
      <c r="I11" s="372"/>
      <c r="J11" s="372"/>
      <c r="K11" s="372"/>
      <c r="L11" s="372"/>
      <c r="M11" s="373"/>
    </row>
    <row r="12" spans="1:13" ht="15.75">
      <c r="A12" s="385"/>
      <c r="B12" s="44"/>
      <c r="C12" s="44"/>
      <c r="D12" s="44"/>
      <c r="E12" s="44"/>
      <c r="F12" s="44"/>
      <c r="G12" s="44"/>
      <c r="H12" s="44"/>
      <c r="I12" s="44"/>
      <c r="J12" s="44"/>
      <c r="K12" s="44"/>
      <c r="L12" s="44"/>
    </row>
    <row r="13" spans="1:13" ht="15.75">
      <c r="A13" s="385"/>
      <c r="B13" s="44"/>
      <c r="C13" s="44"/>
      <c r="D13" s="44"/>
      <c r="E13" s="44"/>
      <c r="F13" s="44"/>
      <c r="G13" s="44"/>
      <c r="H13" s="44"/>
      <c r="I13" s="44"/>
      <c r="J13" s="44"/>
      <c r="K13" s="44"/>
      <c r="L13" s="44"/>
    </row>
    <row r="14" spans="1:13" ht="15.75">
      <c r="A14" s="385"/>
      <c r="B14" s="44"/>
      <c r="C14" s="44"/>
      <c r="D14" s="44"/>
      <c r="E14" s="44"/>
      <c r="F14" s="44"/>
      <c r="G14" s="44"/>
      <c r="H14" s="44"/>
      <c r="I14" s="44"/>
      <c r="J14" s="44"/>
      <c r="K14" s="44"/>
      <c r="L14" s="44"/>
    </row>
    <row r="15" spans="1:13" ht="16.5" thickBot="1">
      <c r="A15" s="385"/>
      <c r="B15" s="572" t="s">
        <v>372</v>
      </c>
      <c r="C15" s="44"/>
      <c r="E15" s="44"/>
      <c r="F15" s="44"/>
      <c r="G15" s="44"/>
      <c r="H15" s="44"/>
      <c r="I15" s="44"/>
      <c r="J15" s="44"/>
      <c r="K15" s="44"/>
      <c r="L15" s="44"/>
    </row>
    <row r="16" spans="1:13" ht="15.75">
      <c r="A16" s="385"/>
      <c r="B16" s="288"/>
      <c r="C16" s="289"/>
      <c r="D16" s="289" t="s">
        <v>368</v>
      </c>
      <c r="E16" s="289" t="s">
        <v>369</v>
      </c>
      <c r="F16" s="289" t="s">
        <v>370</v>
      </c>
      <c r="G16" s="289" t="s">
        <v>371</v>
      </c>
      <c r="H16" s="289"/>
      <c r="I16" s="289"/>
      <c r="J16" s="289"/>
      <c r="K16" s="289"/>
      <c r="L16" s="289"/>
      <c r="M16" s="387"/>
    </row>
    <row r="17" spans="1:13">
      <c r="A17" s="385">
        <f>+A11+1</f>
        <v>5</v>
      </c>
      <c r="B17" s="355" t="s">
        <v>144</v>
      </c>
      <c r="C17" s="388" t="str">
        <f>"Line "&amp;A$58&amp;", Col. "&amp;K$5&amp;""</f>
        <v>Line 30, Col. (i)</v>
      </c>
      <c r="D17" s="357">
        <f>+L58</f>
        <v>0</v>
      </c>
      <c r="E17" s="599">
        <v>0</v>
      </c>
      <c r="F17" s="358" t="e">
        <f>+D64</f>
        <v>#DIV/0!</v>
      </c>
      <c r="G17" s="359" t="e">
        <f>E17*F17</f>
        <v>#DIV/0!</v>
      </c>
      <c r="H17" s="360"/>
      <c r="I17" s="570" t="s">
        <v>630</v>
      </c>
      <c r="J17" s="570"/>
      <c r="K17" s="570"/>
      <c r="L17" s="570"/>
      <c r="M17" s="571">
        <v>0</v>
      </c>
    </row>
    <row r="18" spans="1:13">
      <c r="A18" s="385">
        <f>+A17+1</f>
        <v>6</v>
      </c>
      <c r="B18" s="355" t="s">
        <v>145</v>
      </c>
      <c r="C18" s="388" t="str">
        <f>"Line "&amp;A$58&amp;", Col. "&amp;D$5&amp;""</f>
        <v>Line 30, Col. (b)</v>
      </c>
      <c r="D18" s="362">
        <f>+D58</f>
        <v>0</v>
      </c>
      <c r="E18" s="599">
        <v>0</v>
      </c>
      <c r="F18" s="363">
        <f>+D68</f>
        <v>0</v>
      </c>
      <c r="G18" s="359">
        <f>E18*F18</f>
        <v>0</v>
      </c>
      <c r="H18" s="360"/>
      <c r="I18" s="360" t="s">
        <v>623</v>
      </c>
      <c r="J18" s="360"/>
      <c r="K18" s="360"/>
      <c r="L18" s="360"/>
      <c r="M18" s="361">
        <f>+M9</f>
        <v>0.106</v>
      </c>
    </row>
    <row r="19" spans="1:13">
      <c r="A19" s="385">
        <f t="shared" ref="A19:A20" si="1">+A18+1</f>
        <v>7</v>
      </c>
      <c r="B19" s="355" t="s">
        <v>146</v>
      </c>
      <c r="C19" s="388" t="str">
        <f>"Line "&amp;A$58&amp;", Col. "&amp;F$5&amp;""</f>
        <v>Line 30, Col. (d)</v>
      </c>
      <c r="D19" s="364">
        <f>+F58</f>
        <v>0</v>
      </c>
      <c r="E19" s="600">
        <v>0</v>
      </c>
      <c r="F19" s="365">
        <f>+IF(M17&gt;M18,M18,M17)</f>
        <v>0</v>
      </c>
      <c r="G19" s="366">
        <f>E19*F19</f>
        <v>0</v>
      </c>
      <c r="H19" s="360"/>
      <c r="I19" s="360"/>
      <c r="J19" s="360"/>
      <c r="K19" s="360"/>
      <c r="L19" s="360"/>
      <c r="M19" s="361"/>
    </row>
    <row r="20" spans="1:13" ht="45.75" thickBot="1">
      <c r="A20" s="385">
        <f t="shared" si="1"/>
        <v>8</v>
      </c>
      <c r="B20" s="367" t="s">
        <v>147</v>
      </c>
      <c r="C20" s="368"/>
      <c r="D20" s="369">
        <f>SUM(D17:D19)</f>
        <v>0</v>
      </c>
      <c r="E20" s="370">
        <f>+SUM(E17:E19)</f>
        <v>0</v>
      </c>
      <c r="F20" s="350" t="str">
        <f>"(Line "&amp;$A$64&amp;", Col. "&amp;$D$5&amp;" or Lines "&amp;A17&amp;" or "&amp;A18&amp;", Col. "&amp;$M$5&amp;")"</f>
        <v>(Line 33, Col. (b) or Lines 5 or 6, Col. (k))</v>
      </c>
      <c r="G20" s="371" t="e">
        <f>SUM(G17:G19)</f>
        <v>#DIV/0!</v>
      </c>
      <c r="H20" s="372"/>
      <c r="I20" s="372"/>
      <c r="J20" s="372"/>
      <c r="K20" s="372"/>
      <c r="L20" s="372"/>
      <c r="M20" s="373"/>
    </row>
    <row r="21" spans="1:13" ht="15.75">
      <c r="A21" s="385"/>
      <c r="B21" s="44"/>
      <c r="C21" s="44"/>
      <c r="D21" s="44"/>
      <c r="E21" s="44"/>
      <c r="F21" s="44"/>
      <c r="G21" s="44"/>
      <c r="H21" s="44"/>
      <c r="I21" s="44"/>
      <c r="J21" s="44"/>
      <c r="K21" s="44"/>
      <c r="L21" s="44"/>
    </row>
    <row r="22" spans="1:13" ht="15.75">
      <c r="A22" s="385"/>
      <c r="B22" s="44"/>
      <c r="C22" s="44"/>
      <c r="D22" s="44"/>
      <c r="E22" s="44"/>
      <c r="F22" s="44"/>
      <c r="G22" s="44"/>
      <c r="H22" s="44"/>
      <c r="I22" s="44"/>
      <c r="J22" s="44"/>
      <c r="K22" s="44"/>
      <c r="L22" s="44"/>
    </row>
    <row r="23" spans="1:13" ht="15.75">
      <c r="A23" s="385"/>
      <c r="B23" s="44"/>
      <c r="C23" s="44"/>
      <c r="D23" s="44"/>
      <c r="E23" s="44"/>
      <c r="F23" s="44"/>
      <c r="G23" s="44"/>
      <c r="H23" s="44"/>
      <c r="I23" s="44"/>
      <c r="J23" s="44"/>
      <c r="K23" s="44"/>
      <c r="L23" s="44"/>
    </row>
    <row r="24" spans="1:13" ht="16.5" thickBot="1">
      <c r="A24" s="385"/>
      <c r="B24" s="572" t="s">
        <v>373</v>
      </c>
      <c r="C24" s="44"/>
      <c r="E24" s="44"/>
      <c r="F24" s="44"/>
      <c r="G24" s="44"/>
      <c r="H24" s="44"/>
      <c r="I24" s="44"/>
      <c r="J24" s="44"/>
      <c r="K24" s="44"/>
      <c r="L24" s="44"/>
    </row>
    <row r="25" spans="1:13" ht="15.75">
      <c r="A25" s="385"/>
      <c r="B25" s="288"/>
      <c r="C25" s="289"/>
      <c r="D25" s="289" t="s">
        <v>368</v>
      </c>
      <c r="E25" s="289" t="s">
        <v>369</v>
      </c>
      <c r="F25" s="289" t="s">
        <v>370</v>
      </c>
      <c r="G25" s="289" t="s">
        <v>371</v>
      </c>
      <c r="H25" s="289"/>
      <c r="I25" s="289"/>
      <c r="J25" s="289"/>
      <c r="K25" s="289"/>
      <c r="L25" s="289"/>
      <c r="M25" s="387"/>
    </row>
    <row r="26" spans="1:13">
      <c r="A26" s="385">
        <f>+A20+1</f>
        <v>9</v>
      </c>
      <c r="B26" s="355" t="s">
        <v>144</v>
      </c>
      <c r="C26" s="388" t="str">
        <f>"Line "&amp;A$58&amp;", Col. "&amp;K$5&amp;""</f>
        <v>Line 30, Col. (i)</v>
      </c>
      <c r="D26" s="357">
        <f>+L58</f>
        <v>0</v>
      </c>
      <c r="E26" s="599">
        <v>0</v>
      </c>
      <c r="F26" s="358" t="e">
        <f>+D64</f>
        <v>#DIV/0!</v>
      </c>
      <c r="G26" s="359" t="e">
        <f>E26*F26</f>
        <v>#DIV/0!</v>
      </c>
      <c r="H26" s="360"/>
      <c r="I26" s="570" t="s">
        <v>630</v>
      </c>
      <c r="J26" s="570"/>
      <c r="K26" s="570"/>
      <c r="L26" s="570"/>
      <c r="M26" s="571">
        <v>0</v>
      </c>
    </row>
    <row r="27" spans="1:13">
      <c r="A27" s="385">
        <f>+A26+1</f>
        <v>10</v>
      </c>
      <c r="B27" s="355" t="s">
        <v>145</v>
      </c>
      <c r="C27" s="388" t="str">
        <f>"Line "&amp;A$58&amp;", Col. "&amp;D$5&amp;""</f>
        <v>Line 30, Col. (b)</v>
      </c>
      <c r="D27" s="362">
        <f>+D58</f>
        <v>0</v>
      </c>
      <c r="E27" s="599">
        <v>0</v>
      </c>
      <c r="F27" s="363">
        <f>+D68</f>
        <v>0</v>
      </c>
      <c r="G27" s="359">
        <f>E27*F27</f>
        <v>0</v>
      </c>
      <c r="H27" s="360"/>
      <c r="I27" s="360" t="s">
        <v>623</v>
      </c>
      <c r="J27" s="360"/>
      <c r="K27" s="360"/>
      <c r="L27" s="360"/>
      <c r="M27" s="361">
        <f>+M9</f>
        <v>0.106</v>
      </c>
    </row>
    <row r="28" spans="1:13">
      <c r="A28" s="385">
        <f t="shared" ref="A28:A29" si="2">+A27+1</f>
        <v>11</v>
      </c>
      <c r="B28" s="355" t="s">
        <v>146</v>
      </c>
      <c r="C28" s="388" t="str">
        <f>"Line "&amp;A$58&amp;", Col. "&amp;F$5&amp;""</f>
        <v>Line 30, Col. (d)</v>
      </c>
      <c r="D28" s="364">
        <f>+F58</f>
        <v>0</v>
      </c>
      <c r="E28" s="600">
        <v>0</v>
      </c>
      <c r="F28" s="365">
        <f>+IF(M26&gt;M27,M27,M26)</f>
        <v>0</v>
      </c>
      <c r="G28" s="366">
        <f>E28*F28</f>
        <v>0</v>
      </c>
      <c r="H28" s="360"/>
      <c r="I28" s="360"/>
      <c r="J28" s="360"/>
      <c r="K28" s="360"/>
      <c r="L28" s="360"/>
      <c r="M28" s="361"/>
    </row>
    <row r="29" spans="1:13" ht="45.75" thickBot="1">
      <c r="A29" s="385">
        <f t="shared" si="2"/>
        <v>12</v>
      </c>
      <c r="B29" s="367" t="s">
        <v>147</v>
      </c>
      <c r="C29" s="368"/>
      <c r="D29" s="369">
        <f>SUM(D26:D28)</f>
        <v>0</v>
      </c>
      <c r="E29" s="370">
        <f>+SUM(E26:E28)</f>
        <v>0</v>
      </c>
      <c r="F29" s="350" t="str">
        <f>"(Line "&amp;$A$64&amp;", Col. "&amp;$D$5&amp;" or Lines "&amp;A26&amp;" or "&amp;A27&amp;", Col. "&amp;$M$5&amp;")"</f>
        <v>(Line 33, Col. (b) or Lines 9 or 10, Col. (k))</v>
      </c>
      <c r="G29" s="371" t="e">
        <f>SUM(G26:G28)</f>
        <v>#DIV/0!</v>
      </c>
      <c r="H29" s="372"/>
      <c r="I29" s="372"/>
      <c r="J29" s="372"/>
      <c r="K29" s="372"/>
      <c r="L29" s="372"/>
      <c r="M29" s="373"/>
    </row>
    <row r="30" spans="1:13" ht="15.75">
      <c r="A30" s="385"/>
      <c r="B30" s="44"/>
      <c r="C30" s="44"/>
      <c r="D30" s="44"/>
      <c r="E30" s="44"/>
      <c r="F30" s="44"/>
      <c r="G30" s="44"/>
      <c r="H30" s="44"/>
      <c r="I30" s="44"/>
      <c r="J30" s="44"/>
      <c r="K30" s="44"/>
      <c r="L30" s="44"/>
    </row>
    <row r="31" spans="1:13" ht="15.75">
      <c r="A31" s="385"/>
      <c r="B31" s="44"/>
      <c r="C31" s="44"/>
      <c r="D31" s="44"/>
      <c r="E31" s="44"/>
      <c r="F31" s="44"/>
      <c r="G31" s="44"/>
      <c r="H31" s="44"/>
      <c r="I31" s="44"/>
      <c r="J31" s="44"/>
      <c r="K31" s="44"/>
      <c r="L31" s="44"/>
    </row>
    <row r="32" spans="1:13" ht="15.75">
      <c r="A32" s="385"/>
      <c r="B32" s="44"/>
      <c r="C32" s="44"/>
      <c r="D32" s="44"/>
      <c r="E32" s="44"/>
      <c r="F32" s="44"/>
      <c r="G32" s="44"/>
      <c r="H32" s="44"/>
      <c r="I32" s="44"/>
      <c r="J32" s="44"/>
      <c r="K32" s="44"/>
      <c r="L32" s="44"/>
    </row>
    <row r="33" spans="1:13" ht="16.5" thickBot="1">
      <c r="A33" s="385"/>
      <c r="B33" s="572" t="s">
        <v>374</v>
      </c>
      <c r="C33" s="44"/>
      <c r="E33" s="44"/>
      <c r="F33" s="44"/>
      <c r="G33" s="44"/>
      <c r="H33" s="44"/>
      <c r="I33" s="44"/>
      <c r="J33" s="44"/>
      <c r="K33" s="44"/>
      <c r="L33" s="44"/>
    </row>
    <row r="34" spans="1:13" ht="15.75">
      <c r="A34" s="385"/>
      <c r="B34" s="288"/>
      <c r="C34" s="289"/>
      <c r="D34" s="289" t="s">
        <v>368</v>
      </c>
      <c r="E34" s="289" t="s">
        <v>369</v>
      </c>
      <c r="F34" s="289" t="s">
        <v>370</v>
      </c>
      <c r="G34" s="289" t="s">
        <v>371</v>
      </c>
      <c r="H34" s="289"/>
      <c r="I34" s="289"/>
      <c r="J34" s="289"/>
      <c r="K34" s="289"/>
      <c r="L34" s="289"/>
      <c r="M34" s="387"/>
    </row>
    <row r="35" spans="1:13">
      <c r="A35" s="385">
        <f>+A29+1</f>
        <v>13</v>
      </c>
      <c r="B35" s="355" t="s">
        <v>144</v>
      </c>
      <c r="C35" s="388" t="str">
        <f>"Line "&amp;A$58&amp;", Col. "&amp;K$5&amp;""</f>
        <v>Line 30, Col. (i)</v>
      </c>
      <c r="D35" s="357">
        <f>+L58</f>
        <v>0</v>
      </c>
      <c r="E35" s="599">
        <v>0</v>
      </c>
      <c r="F35" s="358" t="e">
        <f>+D64</f>
        <v>#DIV/0!</v>
      </c>
      <c r="G35" s="359" t="e">
        <f>E35*F35</f>
        <v>#DIV/0!</v>
      </c>
      <c r="H35" s="360"/>
      <c r="I35" s="570" t="s">
        <v>630</v>
      </c>
      <c r="J35" s="570"/>
      <c r="K35" s="570"/>
      <c r="L35" s="570"/>
      <c r="M35" s="571">
        <v>0</v>
      </c>
    </row>
    <row r="36" spans="1:13">
      <c r="A36" s="385">
        <f>+A35+1</f>
        <v>14</v>
      </c>
      <c r="B36" s="355" t="s">
        <v>145</v>
      </c>
      <c r="C36" s="388" t="str">
        <f>"Line "&amp;A$58&amp;", Col. "&amp;D$5&amp;""</f>
        <v>Line 30, Col. (b)</v>
      </c>
      <c r="D36" s="362">
        <f>+D58</f>
        <v>0</v>
      </c>
      <c r="E36" s="599">
        <v>0</v>
      </c>
      <c r="F36" s="363">
        <f>+D68</f>
        <v>0</v>
      </c>
      <c r="G36" s="359">
        <f>E36*F36</f>
        <v>0</v>
      </c>
      <c r="H36" s="360"/>
      <c r="I36" s="360" t="s">
        <v>623</v>
      </c>
      <c r="J36" s="360"/>
      <c r="K36" s="360"/>
      <c r="L36" s="360"/>
      <c r="M36" s="361">
        <f>+M9</f>
        <v>0.106</v>
      </c>
    </row>
    <row r="37" spans="1:13">
      <c r="A37" s="385">
        <f t="shared" ref="A37:A38" si="3">+A36+1</f>
        <v>15</v>
      </c>
      <c r="B37" s="355" t="s">
        <v>146</v>
      </c>
      <c r="C37" s="388" t="str">
        <f>"Line "&amp;A$58&amp;", Col. "&amp;F$5&amp;""</f>
        <v>Line 30, Col. (d)</v>
      </c>
      <c r="D37" s="357">
        <f>+F58</f>
        <v>0</v>
      </c>
      <c r="E37" s="600">
        <v>0</v>
      </c>
      <c r="F37" s="365">
        <f>+IF(M35&gt;M36,M36,M35)</f>
        <v>0</v>
      </c>
      <c r="G37" s="366">
        <f>E37*F37</f>
        <v>0</v>
      </c>
      <c r="H37" s="360"/>
      <c r="I37" s="360"/>
      <c r="J37" s="360"/>
      <c r="K37" s="360"/>
      <c r="L37" s="360"/>
      <c r="M37" s="361"/>
    </row>
    <row r="38" spans="1:13" ht="45.75" thickBot="1">
      <c r="A38" s="385">
        <f t="shared" si="3"/>
        <v>16</v>
      </c>
      <c r="B38" s="367" t="s">
        <v>147</v>
      </c>
      <c r="C38" s="368"/>
      <c r="D38" s="369">
        <f>SUM(D35:D37)</f>
        <v>0</v>
      </c>
      <c r="E38" s="370">
        <f>+SUM(E35:E37)</f>
        <v>0</v>
      </c>
      <c r="F38" s="350" t="str">
        <f>"(Line "&amp;$A$64&amp;", Col. "&amp;$D$5&amp;" or Lines "&amp;A35&amp;" or "&amp;A36&amp;", Col. "&amp;$M$5&amp;")"</f>
        <v>(Line 33, Col. (b) or Lines 13 or 14, Col. (k))</v>
      </c>
      <c r="G38" s="371" t="e">
        <f>SUM(G35:G37)</f>
        <v>#DIV/0!</v>
      </c>
      <c r="H38" s="372"/>
      <c r="I38" s="372"/>
      <c r="J38" s="372"/>
      <c r="K38" s="372"/>
      <c r="L38" s="372"/>
      <c r="M38" s="373"/>
    </row>
    <row r="39" spans="1:13" ht="15.75">
      <c r="A39" s="385"/>
      <c r="B39" s="44"/>
      <c r="C39" s="44"/>
      <c r="D39" s="44"/>
      <c r="E39" s="44"/>
      <c r="F39" s="44"/>
      <c r="G39" s="44"/>
      <c r="H39" s="44"/>
      <c r="I39" s="44"/>
      <c r="J39" s="44"/>
      <c r="K39" s="44"/>
      <c r="L39" s="44"/>
    </row>
    <row r="40" spans="1:13" ht="15.75">
      <c r="A40" s="573"/>
      <c r="B40" s="572"/>
      <c r="C40" s="572"/>
      <c r="D40" s="572"/>
      <c r="E40" s="572"/>
      <c r="F40" s="572"/>
      <c r="G40" s="572"/>
      <c r="H40" s="572"/>
      <c r="I40" s="572"/>
      <c r="J40" s="572"/>
      <c r="K40" s="572"/>
      <c r="L40" s="572"/>
      <c r="M40" s="60"/>
    </row>
    <row r="41" spans="1:13" ht="16.5" thickBot="1">
      <c r="A41" s="385"/>
      <c r="B41" s="44"/>
      <c r="C41" s="44"/>
      <c r="D41" s="44"/>
      <c r="E41" s="44"/>
      <c r="F41" s="44"/>
      <c r="G41" s="44"/>
      <c r="H41" s="44"/>
      <c r="I41" s="44"/>
      <c r="J41" s="44"/>
      <c r="K41" s="44"/>
      <c r="L41" s="44"/>
    </row>
    <row r="42" spans="1:13" ht="15.75">
      <c r="A42" s="385"/>
      <c r="B42" s="390"/>
      <c r="C42" s="690" t="s">
        <v>123</v>
      </c>
      <c r="D42" s="690"/>
      <c r="E42" s="690"/>
      <c r="F42" s="690"/>
      <c r="G42" s="391"/>
      <c r="H42" s="690" t="s">
        <v>131</v>
      </c>
      <c r="I42" s="690"/>
      <c r="J42" s="690"/>
      <c r="K42" s="690"/>
      <c r="L42" s="692"/>
      <c r="M42" s="43"/>
    </row>
    <row r="43" spans="1:13" ht="78.75">
      <c r="A43" s="389"/>
      <c r="B43" s="392"/>
      <c r="C43" s="46" t="s">
        <v>9</v>
      </c>
      <c r="D43" s="55" t="s">
        <v>137</v>
      </c>
      <c r="E43" s="54" t="s">
        <v>129</v>
      </c>
      <c r="F43" s="55" t="s">
        <v>130</v>
      </c>
      <c r="G43" s="55"/>
      <c r="H43" s="55" t="s">
        <v>9</v>
      </c>
      <c r="I43" s="56" t="s">
        <v>132</v>
      </c>
      <c r="J43" s="55" t="s">
        <v>133</v>
      </c>
      <c r="K43" s="59" t="s">
        <v>134</v>
      </c>
      <c r="L43" s="393" t="s">
        <v>135</v>
      </c>
      <c r="M43" s="43"/>
    </row>
    <row r="44" spans="1:13" ht="30">
      <c r="B44" s="394" t="s">
        <v>50</v>
      </c>
      <c r="C44" s="580" t="s">
        <v>457</v>
      </c>
      <c r="D44" s="580" t="s">
        <v>458</v>
      </c>
      <c r="E44" s="581" t="s">
        <v>459</v>
      </c>
      <c r="F44" s="582" t="str">
        <f>"Col. "&amp;C5&amp;" - Col. "&amp;D5&amp;" - Col. "&amp;E5&amp;""</f>
        <v>Col. (a) - Col. (b) - Col. (c)</v>
      </c>
      <c r="G44" s="48"/>
      <c r="H44" s="580" t="s">
        <v>460</v>
      </c>
      <c r="I44" s="583" t="s">
        <v>461</v>
      </c>
      <c r="J44" s="584" t="s">
        <v>656</v>
      </c>
      <c r="K44" s="585" t="s">
        <v>657</v>
      </c>
      <c r="L44" s="586" t="str">
        <f>"Col. "&amp;H5&amp;" + Col. "&amp;I5&amp;" - Col. "&amp;J5&amp;" - "&amp;K5&amp;""</f>
        <v>Col. (f) + Col. (g) - Col. (h) - (i)</v>
      </c>
      <c r="M44" s="49"/>
    </row>
    <row r="45" spans="1:13">
      <c r="A45" s="50">
        <f>+A38+1</f>
        <v>17</v>
      </c>
      <c r="B45" s="395" t="s">
        <v>138</v>
      </c>
      <c r="C45" s="593">
        <v>0</v>
      </c>
      <c r="D45" s="61">
        <v>0</v>
      </c>
      <c r="E45" s="62">
        <v>0</v>
      </c>
      <c r="F45" s="45">
        <f>+C45-D45-E45</f>
        <v>0</v>
      </c>
      <c r="H45" s="592">
        <v>0</v>
      </c>
      <c r="I45" s="61">
        <v>0</v>
      </c>
      <c r="J45" s="61">
        <v>0</v>
      </c>
      <c r="K45" s="61">
        <v>0</v>
      </c>
      <c r="L45" s="330">
        <f>+H45+I45-J45-K45</f>
        <v>0</v>
      </c>
      <c r="M45" s="49"/>
    </row>
    <row r="46" spans="1:13">
      <c r="A46" s="50">
        <f>+A45+1</f>
        <v>18</v>
      </c>
      <c r="B46" s="396" t="s">
        <v>124</v>
      </c>
      <c r="C46" s="593">
        <v>0</v>
      </c>
      <c r="D46" s="61">
        <v>0</v>
      </c>
      <c r="E46" s="62">
        <v>0</v>
      </c>
      <c r="F46" s="45">
        <f>+C46-D46-E46</f>
        <v>0</v>
      </c>
      <c r="H46" s="592">
        <v>0</v>
      </c>
      <c r="I46" s="61">
        <v>0</v>
      </c>
      <c r="J46" s="61">
        <v>0</v>
      </c>
      <c r="K46" s="61">
        <v>0</v>
      </c>
      <c r="L46" s="330">
        <f t="shared" ref="L46:L57" si="4">+H46+I46-J46-K46</f>
        <v>0</v>
      </c>
    </row>
    <row r="47" spans="1:13">
      <c r="A47" s="50">
        <f t="shared" ref="A47:A58" si="5">+A46+1</f>
        <v>19</v>
      </c>
      <c r="B47" s="396" t="s">
        <v>52</v>
      </c>
      <c r="C47" s="593">
        <v>0</v>
      </c>
      <c r="D47" s="61">
        <v>0</v>
      </c>
      <c r="E47" s="62">
        <v>0</v>
      </c>
      <c r="F47" s="45">
        <f t="shared" ref="F47:F57" si="6">+C47-D47-E47</f>
        <v>0</v>
      </c>
      <c r="H47" s="592">
        <v>0</v>
      </c>
      <c r="I47" s="61">
        <v>0</v>
      </c>
      <c r="J47" s="61">
        <v>0</v>
      </c>
      <c r="K47" s="61">
        <v>0</v>
      </c>
      <c r="L47" s="330">
        <f t="shared" si="4"/>
        <v>0</v>
      </c>
    </row>
    <row r="48" spans="1:13">
      <c r="A48" s="50">
        <f t="shared" si="5"/>
        <v>20</v>
      </c>
      <c r="B48" s="396" t="s">
        <v>125</v>
      </c>
      <c r="C48" s="593">
        <v>0</v>
      </c>
      <c r="D48" s="61">
        <v>0</v>
      </c>
      <c r="E48" s="62">
        <v>0</v>
      </c>
      <c r="F48" s="45">
        <f t="shared" si="6"/>
        <v>0</v>
      </c>
      <c r="G48" s="51"/>
      <c r="H48" s="592">
        <v>0</v>
      </c>
      <c r="I48" s="61">
        <v>0</v>
      </c>
      <c r="J48" s="61">
        <v>0</v>
      </c>
      <c r="K48" s="61">
        <v>0</v>
      </c>
      <c r="L48" s="330">
        <f t="shared" si="4"/>
        <v>0</v>
      </c>
    </row>
    <row r="49" spans="1:12">
      <c r="A49" s="50">
        <f t="shared" si="5"/>
        <v>21</v>
      </c>
      <c r="B49" s="396" t="s">
        <v>126</v>
      </c>
      <c r="C49" s="593">
        <v>0</v>
      </c>
      <c r="D49" s="61">
        <v>0</v>
      </c>
      <c r="E49" s="62">
        <v>0</v>
      </c>
      <c r="F49" s="45">
        <f t="shared" si="6"/>
        <v>0</v>
      </c>
      <c r="G49" s="51"/>
      <c r="H49" s="592">
        <v>0</v>
      </c>
      <c r="I49" s="61">
        <v>0</v>
      </c>
      <c r="J49" s="61">
        <v>0</v>
      </c>
      <c r="K49" s="61">
        <v>0</v>
      </c>
      <c r="L49" s="330">
        <f t="shared" si="4"/>
        <v>0</v>
      </c>
    </row>
    <row r="50" spans="1:12">
      <c r="A50" s="50">
        <f t="shared" si="5"/>
        <v>22</v>
      </c>
      <c r="B50" s="396" t="s">
        <v>51</v>
      </c>
      <c r="C50" s="593">
        <v>0</v>
      </c>
      <c r="D50" s="61">
        <v>0</v>
      </c>
      <c r="E50" s="62">
        <v>0</v>
      </c>
      <c r="F50" s="45">
        <f t="shared" si="6"/>
        <v>0</v>
      </c>
      <c r="G50" s="51"/>
      <c r="H50" s="592">
        <v>0</v>
      </c>
      <c r="I50" s="61">
        <v>0</v>
      </c>
      <c r="J50" s="61">
        <v>0</v>
      </c>
      <c r="K50" s="61">
        <v>0</v>
      </c>
      <c r="L50" s="330">
        <f t="shared" si="4"/>
        <v>0</v>
      </c>
    </row>
    <row r="51" spans="1:12">
      <c r="A51" s="50">
        <f t="shared" si="5"/>
        <v>23</v>
      </c>
      <c r="B51" s="396" t="s">
        <v>55</v>
      </c>
      <c r="C51" s="593">
        <v>0</v>
      </c>
      <c r="D51" s="61">
        <v>0</v>
      </c>
      <c r="E51" s="62">
        <v>0</v>
      </c>
      <c r="F51" s="45">
        <f t="shared" si="6"/>
        <v>0</v>
      </c>
      <c r="G51" s="51"/>
      <c r="H51" s="592">
        <v>0</v>
      </c>
      <c r="I51" s="61">
        <v>0</v>
      </c>
      <c r="J51" s="61">
        <v>0</v>
      </c>
      <c r="K51" s="61">
        <v>0</v>
      </c>
      <c r="L51" s="330">
        <f t="shared" si="4"/>
        <v>0</v>
      </c>
    </row>
    <row r="52" spans="1:12">
      <c r="A52" s="50">
        <f t="shared" si="5"/>
        <v>24</v>
      </c>
      <c r="B52" s="396" t="s">
        <v>56</v>
      </c>
      <c r="C52" s="593">
        <v>0</v>
      </c>
      <c r="D52" s="61">
        <v>0</v>
      </c>
      <c r="E52" s="62">
        <v>0</v>
      </c>
      <c r="F52" s="45">
        <f t="shared" si="6"/>
        <v>0</v>
      </c>
      <c r="G52" s="51"/>
      <c r="H52" s="592">
        <v>0</v>
      </c>
      <c r="I52" s="61">
        <v>0</v>
      </c>
      <c r="J52" s="61">
        <v>0</v>
      </c>
      <c r="K52" s="61">
        <v>0</v>
      </c>
      <c r="L52" s="330">
        <f t="shared" si="4"/>
        <v>0</v>
      </c>
    </row>
    <row r="53" spans="1:12">
      <c r="A53" s="50">
        <f t="shared" si="5"/>
        <v>25</v>
      </c>
      <c r="B53" s="396" t="s">
        <v>127</v>
      </c>
      <c r="C53" s="593">
        <v>0</v>
      </c>
      <c r="D53" s="61">
        <v>0</v>
      </c>
      <c r="E53" s="62">
        <v>0</v>
      </c>
      <c r="F53" s="45">
        <f t="shared" si="6"/>
        <v>0</v>
      </c>
      <c r="G53" s="51"/>
      <c r="H53" s="592">
        <v>0</v>
      </c>
      <c r="I53" s="61">
        <v>0</v>
      </c>
      <c r="J53" s="61">
        <v>0</v>
      </c>
      <c r="K53" s="61">
        <v>0</v>
      </c>
      <c r="L53" s="330">
        <f t="shared" si="4"/>
        <v>0</v>
      </c>
    </row>
    <row r="54" spans="1:12">
      <c r="A54" s="50">
        <f t="shared" si="5"/>
        <v>26</v>
      </c>
      <c r="B54" s="396" t="s">
        <v>58</v>
      </c>
      <c r="C54" s="593">
        <v>0</v>
      </c>
      <c r="D54" s="61">
        <v>0</v>
      </c>
      <c r="E54" s="62">
        <v>0</v>
      </c>
      <c r="F54" s="45">
        <f t="shared" si="6"/>
        <v>0</v>
      </c>
      <c r="G54" s="51"/>
      <c r="H54" s="592">
        <v>0</v>
      </c>
      <c r="I54" s="61">
        <v>0</v>
      </c>
      <c r="J54" s="61">
        <v>0</v>
      </c>
      <c r="K54" s="61">
        <v>0</v>
      </c>
      <c r="L54" s="330">
        <f t="shared" si="4"/>
        <v>0</v>
      </c>
    </row>
    <row r="55" spans="1:12">
      <c r="A55" s="50">
        <f>+A54+1</f>
        <v>27</v>
      </c>
      <c r="B55" s="396" t="s">
        <v>59</v>
      </c>
      <c r="C55" s="593">
        <v>0</v>
      </c>
      <c r="D55" s="61">
        <v>0</v>
      </c>
      <c r="E55" s="62">
        <v>0</v>
      </c>
      <c r="F55" s="45">
        <f t="shared" si="6"/>
        <v>0</v>
      </c>
      <c r="G55" s="51"/>
      <c r="H55" s="592">
        <v>0</v>
      </c>
      <c r="I55" s="61">
        <v>0</v>
      </c>
      <c r="J55" s="61">
        <v>0</v>
      </c>
      <c r="K55" s="61">
        <v>0</v>
      </c>
      <c r="L55" s="330">
        <f t="shared" si="4"/>
        <v>0</v>
      </c>
    </row>
    <row r="56" spans="1:12">
      <c r="A56" s="50">
        <f t="shared" si="5"/>
        <v>28</v>
      </c>
      <c r="B56" s="396" t="s">
        <v>60</v>
      </c>
      <c r="C56" s="593">
        <v>0</v>
      </c>
      <c r="D56" s="61">
        <v>0</v>
      </c>
      <c r="E56" s="62">
        <v>0</v>
      </c>
      <c r="F56" s="45">
        <f t="shared" si="6"/>
        <v>0</v>
      </c>
      <c r="G56" s="51"/>
      <c r="H56" s="592">
        <v>0</v>
      </c>
      <c r="I56" s="61">
        <v>0</v>
      </c>
      <c r="J56" s="61">
        <v>0</v>
      </c>
      <c r="K56" s="61">
        <v>0</v>
      </c>
      <c r="L56" s="330">
        <f t="shared" si="4"/>
        <v>0</v>
      </c>
    </row>
    <row r="57" spans="1:12">
      <c r="A57" s="50">
        <f t="shared" si="5"/>
        <v>29</v>
      </c>
      <c r="B57" s="396" t="s">
        <v>128</v>
      </c>
      <c r="C57" s="593">
        <v>0</v>
      </c>
      <c r="D57" s="63">
        <v>0</v>
      </c>
      <c r="E57" s="62">
        <v>0</v>
      </c>
      <c r="F57" s="57">
        <f t="shared" si="6"/>
        <v>0</v>
      </c>
      <c r="G57" s="51"/>
      <c r="H57" s="592">
        <v>0</v>
      </c>
      <c r="I57" s="61">
        <v>0</v>
      </c>
      <c r="J57" s="61">
        <v>0</v>
      </c>
      <c r="K57" s="61">
        <v>0</v>
      </c>
      <c r="L57" s="594">
        <f t="shared" si="4"/>
        <v>0</v>
      </c>
    </row>
    <row r="58" spans="1:12" ht="15.75" thickBot="1">
      <c r="A58" s="50">
        <f t="shared" si="5"/>
        <v>30</v>
      </c>
      <c r="B58" s="397" t="s">
        <v>76</v>
      </c>
      <c r="C58" s="398"/>
      <c r="D58" s="399">
        <f>+SUM(D45:D57)/13</f>
        <v>0</v>
      </c>
      <c r="E58" s="400"/>
      <c r="F58" s="398">
        <f>+SUM(F45:F57)/13</f>
        <v>0</v>
      </c>
      <c r="G58" s="336"/>
      <c r="H58" s="398"/>
      <c r="I58" s="336"/>
      <c r="J58" s="401"/>
      <c r="K58" s="398"/>
      <c r="L58" s="595">
        <f>+SUM(L45:L57)/13</f>
        <v>0</v>
      </c>
    </row>
    <row r="59" spans="1:12">
      <c r="G59" s="51"/>
      <c r="I59" s="51"/>
      <c r="J59" s="52"/>
    </row>
    <row r="60" spans="1:12">
      <c r="G60" s="51"/>
      <c r="I60" s="51"/>
      <c r="J60" s="52"/>
    </row>
    <row r="61" spans="1:12" ht="15.75" thickBot="1">
      <c r="C61" s="290"/>
      <c r="G61" s="51"/>
      <c r="I61" s="51"/>
      <c r="J61" s="52"/>
    </row>
    <row r="62" spans="1:12" ht="45">
      <c r="A62" s="50">
        <f>+A58+1</f>
        <v>31</v>
      </c>
      <c r="B62" s="374" t="s">
        <v>139</v>
      </c>
      <c r="C62" s="375" t="s">
        <v>462</v>
      </c>
      <c r="D62" s="587">
        <v>0</v>
      </c>
      <c r="G62" s="51"/>
      <c r="I62" s="51"/>
      <c r="J62" s="52"/>
    </row>
    <row r="63" spans="1:12" ht="30">
      <c r="A63" s="50">
        <f>+A62+1</f>
        <v>32</v>
      </c>
      <c r="B63" s="376" t="s">
        <v>141</v>
      </c>
      <c r="C63" s="388" t="str">
        <f>"(Line "&amp;A58&amp;", Col. "&amp;K5&amp;")"</f>
        <v>(Line 30, Col. (i))</v>
      </c>
      <c r="D63" s="377">
        <f>+L58</f>
        <v>0</v>
      </c>
      <c r="G63" s="51"/>
      <c r="I63" s="51"/>
      <c r="J63" s="52"/>
    </row>
    <row r="64" spans="1:12" ht="30">
      <c r="A64" s="50">
        <f>+A63+1</f>
        <v>33</v>
      </c>
      <c r="B64" s="355" t="s">
        <v>142</v>
      </c>
      <c r="C64" s="388" t="str">
        <f>"(Line "&amp;A62&amp;" / Line "&amp;A63&amp;")"</f>
        <v>(Line 31 / Line 32)</v>
      </c>
      <c r="D64" s="378" t="e">
        <f>+D62/D63</f>
        <v>#DIV/0!</v>
      </c>
      <c r="G64" s="51"/>
      <c r="I64" s="51"/>
      <c r="J64" s="52"/>
    </row>
    <row r="65" spans="1:10">
      <c r="B65" s="355"/>
      <c r="C65" s="379"/>
      <c r="D65" s="377"/>
      <c r="G65" s="51"/>
      <c r="I65" s="51"/>
      <c r="J65" s="52"/>
    </row>
    <row r="66" spans="1:10">
      <c r="A66" s="50">
        <f>+A64+1</f>
        <v>34</v>
      </c>
      <c r="B66" s="376" t="s">
        <v>140</v>
      </c>
      <c r="C66" s="380" t="s">
        <v>463</v>
      </c>
      <c r="D66" s="381">
        <v>0</v>
      </c>
      <c r="G66" s="51"/>
      <c r="I66" s="51"/>
      <c r="J66" s="52"/>
    </row>
    <row r="67" spans="1:10" ht="30">
      <c r="A67" s="50">
        <f>+A66+1</f>
        <v>35</v>
      </c>
      <c r="B67" s="376" t="s">
        <v>136</v>
      </c>
      <c r="C67" s="388" t="str">
        <f>"(Line "&amp;A58&amp;", Col. "&amp;D5&amp;")"</f>
        <v>(Line 30, Col. (b))</v>
      </c>
      <c r="D67" s="381">
        <f>+D58</f>
        <v>0</v>
      </c>
      <c r="G67" s="51"/>
      <c r="I67" s="51"/>
      <c r="J67" s="52"/>
    </row>
    <row r="68" spans="1:10" ht="30.75" thickBot="1">
      <c r="A68" s="50">
        <f>+A67+1</f>
        <v>36</v>
      </c>
      <c r="B68" s="382" t="s">
        <v>143</v>
      </c>
      <c r="C68" s="350" t="str">
        <f>"(Line "&amp;A66&amp;" / Line "&amp;A67&amp;")"</f>
        <v>(Line 34 / Line 35)</v>
      </c>
      <c r="D68" s="384">
        <f>+IF(D67=0,0,(D66/D67))</f>
        <v>0</v>
      </c>
      <c r="G68" s="51"/>
      <c r="I68" s="51"/>
      <c r="J68" s="52"/>
    </row>
    <row r="69" spans="1:10">
      <c r="G69" s="51"/>
      <c r="I69" s="51"/>
      <c r="J69" s="52"/>
    </row>
    <row r="70" spans="1:10">
      <c r="B70" s="45" t="s">
        <v>610</v>
      </c>
      <c r="G70" s="51"/>
      <c r="I70" s="51"/>
      <c r="J70" s="52"/>
    </row>
    <row r="71" spans="1:10">
      <c r="G71" s="51"/>
      <c r="I71" s="51"/>
      <c r="J71" s="52"/>
    </row>
    <row r="99" spans="1:10" ht="33.75" customHeight="1">
      <c r="A99" s="691"/>
      <c r="B99" s="691"/>
      <c r="C99" s="691"/>
      <c r="D99" s="691"/>
      <c r="E99" s="691"/>
      <c r="F99" s="691"/>
      <c r="G99" s="691"/>
      <c r="H99" s="691"/>
      <c r="I99" s="691"/>
      <c r="J99" s="691"/>
    </row>
    <row r="100" spans="1:10">
      <c r="A100" s="691"/>
      <c r="B100" s="691"/>
      <c r="C100" s="691"/>
      <c r="D100" s="691"/>
      <c r="E100" s="691"/>
      <c r="F100" s="691"/>
      <c r="G100" s="691"/>
      <c r="H100" s="691"/>
      <c r="I100" s="691"/>
      <c r="J100" s="691"/>
    </row>
    <row r="101" spans="1:10">
      <c r="A101" s="691"/>
      <c r="B101" s="691"/>
      <c r="C101" s="691"/>
      <c r="D101" s="691"/>
      <c r="E101" s="691"/>
      <c r="F101" s="691"/>
      <c r="G101" s="691"/>
      <c r="H101" s="691"/>
      <c r="I101" s="691"/>
      <c r="J101" s="691"/>
    </row>
    <row r="102" spans="1:10" ht="33.75" customHeight="1">
      <c r="A102" s="691"/>
      <c r="B102" s="691"/>
      <c r="C102" s="691"/>
      <c r="D102" s="691"/>
      <c r="E102" s="691"/>
      <c r="F102" s="691"/>
      <c r="G102" s="691"/>
      <c r="H102" s="691"/>
      <c r="I102" s="691"/>
      <c r="J102" s="691"/>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4"/>
  <sheetViews>
    <sheetView zoomScale="90" zoomScaleNormal="90" workbookViewId="0">
      <selection activeCell="K36" sqref="K36"/>
    </sheetView>
  </sheetViews>
  <sheetFormatPr defaultRowHeight="15"/>
  <cols>
    <col min="1" max="1" width="5.7109375" customWidth="1"/>
    <col min="2" max="2" width="13.28515625" customWidth="1"/>
    <col min="3" max="3" width="39.28515625" customWidth="1"/>
    <col min="4" max="4" width="16.7109375" customWidth="1"/>
    <col min="5" max="5" width="17.7109375" customWidth="1"/>
    <col min="6" max="6" width="15.140625" customWidth="1"/>
    <col min="7" max="7" width="34.42578125" customWidth="1"/>
    <col min="8" max="8" width="19.42578125" customWidth="1"/>
    <col min="9" max="9" width="14.28515625" bestFit="1" customWidth="1"/>
    <col min="10" max="10" width="15.42578125" customWidth="1"/>
    <col min="11" max="11" width="12.28515625" customWidth="1"/>
    <col min="12" max="12" width="9.28515625"/>
  </cols>
  <sheetData>
    <row r="1" spans="2:12" ht="18">
      <c r="B1" s="664" t="s">
        <v>576</v>
      </c>
      <c r="C1" s="664"/>
      <c r="D1" s="664"/>
      <c r="E1" s="664"/>
      <c r="F1" s="664"/>
      <c r="G1" s="664"/>
      <c r="H1" s="664"/>
      <c r="I1" s="664"/>
      <c r="J1" s="664"/>
      <c r="K1" s="71"/>
      <c r="L1" s="65"/>
    </row>
    <row r="2" spans="2:12" ht="18">
      <c r="B2" s="664" t="s">
        <v>571</v>
      </c>
      <c r="C2" s="664"/>
      <c r="D2" s="664"/>
      <c r="E2" s="664"/>
      <c r="F2" s="664"/>
      <c r="G2" s="664"/>
      <c r="H2" s="664"/>
      <c r="I2" s="664"/>
      <c r="J2" s="664"/>
      <c r="K2" s="664"/>
      <c r="L2" s="664"/>
    </row>
    <row r="3" spans="2:12" ht="18">
      <c r="B3" s="693" t="str">
        <f>+'Appendix A'!H3</f>
        <v>Projected ATRR or Actual ATRR for the 12 Months Ended 12/31/XXXX</v>
      </c>
      <c r="C3" s="693"/>
      <c r="D3" s="693"/>
      <c r="E3" s="693"/>
      <c r="F3" s="693"/>
      <c r="G3" s="693"/>
      <c r="H3" s="693"/>
      <c r="I3" s="693"/>
      <c r="J3" s="693"/>
      <c r="K3" s="65"/>
      <c r="L3" s="65"/>
    </row>
    <row r="4" spans="2:12" ht="18">
      <c r="B4" s="65"/>
      <c r="C4" s="65"/>
      <c r="D4" s="65"/>
      <c r="E4" s="65"/>
      <c r="F4" s="65"/>
      <c r="G4" s="65"/>
      <c r="H4" s="65"/>
      <c r="I4" s="65"/>
      <c r="J4" s="65"/>
      <c r="K4" s="65"/>
      <c r="L4" s="65"/>
    </row>
    <row r="5" spans="2:12" ht="18">
      <c r="B5" s="65"/>
      <c r="C5" s="65"/>
      <c r="D5" s="65"/>
      <c r="E5" s="65"/>
      <c r="F5" s="65"/>
      <c r="G5" s="65"/>
      <c r="H5" s="65"/>
      <c r="I5" s="65"/>
      <c r="J5" s="65"/>
      <c r="K5" s="65"/>
      <c r="L5" s="65"/>
    </row>
    <row r="6" spans="2:12" ht="15.75">
      <c r="B6" s="64" t="s">
        <v>215</v>
      </c>
      <c r="C6" s="69"/>
      <c r="D6" s="69"/>
      <c r="E6" s="69"/>
      <c r="F6" s="69"/>
      <c r="G6" s="69"/>
      <c r="H6" s="69"/>
      <c r="I6" s="69"/>
      <c r="J6" s="69"/>
      <c r="K6" s="69"/>
      <c r="L6" s="69"/>
    </row>
    <row r="7" spans="2:12" ht="15.75">
      <c r="B7" s="68" t="s">
        <v>621</v>
      </c>
      <c r="C7" s="69"/>
      <c r="D7" s="229"/>
      <c r="E7" s="69"/>
      <c r="F7" s="69"/>
      <c r="G7" s="69"/>
      <c r="H7" s="69"/>
      <c r="I7" s="69"/>
      <c r="J7" s="69"/>
      <c r="K7" s="69"/>
      <c r="L7" s="69"/>
    </row>
    <row r="8" spans="2:12" ht="15.75">
      <c r="B8" s="230"/>
      <c r="C8" s="69"/>
      <c r="D8" s="229"/>
      <c r="E8" s="69"/>
      <c r="F8" s="69"/>
      <c r="G8" s="69"/>
      <c r="H8" s="69"/>
      <c r="I8" s="69"/>
      <c r="J8" s="69"/>
      <c r="K8" s="69"/>
      <c r="L8" s="69"/>
    </row>
    <row r="9" spans="2:12" ht="15.75">
      <c r="B9" s="230" t="s">
        <v>92</v>
      </c>
      <c r="C9" s="69" t="s">
        <v>579</v>
      </c>
      <c r="D9" s="229"/>
      <c r="E9" s="69"/>
      <c r="F9" s="69"/>
      <c r="G9" s="69"/>
      <c r="H9" s="69"/>
      <c r="I9" s="69"/>
      <c r="J9" s="69"/>
      <c r="K9" s="69"/>
      <c r="L9" s="69"/>
    </row>
    <row r="10" spans="2:12" ht="15.75">
      <c r="B10" s="230"/>
      <c r="C10" s="69" t="s">
        <v>283</v>
      </c>
      <c r="D10" s="229"/>
      <c r="E10" s="69"/>
      <c r="F10" s="69"/>
      <c r="G10" s="69"/>
      <c r="H10" s="69"/>
      <c r="I10" s="69"/>
      <c r="J10" s="69"/>
      <c r="K10" s="69"/>
      <c r="L10" s="69"/>
    </row>
    <row r="11" spans="2:12" ht="15.75">
      <c r="B11" s="230"/>
      <c r="C11" s="69" t="s">
        <v>262</v>
      </c>
      <c r="D11" s="229"/>
      <c r="E11" s="69"/>
      <c r="F11" s="69"/>
      <c r="G11" s="69"/>
      <c r="H11" s="231"/>
      <c r="I11" s="229"/>
      <c r="J11" s="69"/>
      <c r="K11" s="69"/>
      <c r="L11" s="69"/>
    </row>
    <row r="12" spans="2:12" ht="15.75">
      <c r="B12" s="230"/>
      <c r="C12" s="229"/>
      <c r="D12" s="229"/>
      <c r="E12" s="69"/>
      <c r="F12" s="69"/>
      <c r="G12" s="69"/>
      <c r="H12" s="231"/>
      <c r="I12" s="229"/>
      <c r="J12" s="69"/>
      <c r="K12" s="69"/>
      <c r="L12" s="69"/>
    </row>
    <row r="13" spans="2:12" ht="15.75">
      <c r="B13" s="230" t="s">
        <v>263</v>
      </c>
      <c r="C13" s="69" t="s">
        <v>558</v>
      </c>
      <c r="D13" s="229"/>
      <c r="E13" s="69"/>
      <c r="F13" s="69"/>
      <c r="G13" s="69"/>
      <c r="H13" s="69"/>
      <c r="I13" s="69"/>
      <c r="J13" s="69"/>
      <c r="K13" s="69"/>
      <c r="L13" s="69"/>
    </row>
    <row r="14" spans="2:12" ht="15.75">
      <c r="B14" s="230"/>
      <c r="C14" s="69" t="s">
        <v>559</v>
      </c>
      <c r="D14" s="229"/>
      <c r="E14" s="69"/>
      <c r="F14" s="69"/>
      <c r="G14" s="69"/>
      <c r="H14" s="69"/>
      <c r="I14" s="69"/>
      <c r="J14" s="69"/>
      <c r="K14" s="69"/>
      <c r="L14" s="69"/>
    </row>
    <row r="15" spans="2:12" ht="15.75">
      <c r="B15" s="232"/>
      <c r="C15" s="229"/>
      <c r="D15" s="229"/>
      <c r="E15" s="229"/>
      <c r="F15" s="229"/>
      <c r="G15" s="69"/>
      <c r="H15" s="69"/>
      <c r="I15" s="69"/>
      <c r="J15" s="69"/>
      <c r="K15" s="69"/>
      <c r="L15" s="69"/>
    </row>
    <row r="16" spans="2:12" ht="15.75">
      <c r="B16" s="230" t="s">
        <v>622</v>
      </c>
      <c r="C16" s="69" t="s">
        <v>284</v>
      </c>
      <c r="D16" s="69"/>
      <c r="E16" s="229"/>
      <c r="F16" s="69"/>
      <c r="G16" s="69"/>
      <c r="H16" s="69"/>
      <c r="I16" s="69"/>
      <c r="J16" s="69"/>
      <c r="K16" s="229"/>
      <c r="L16" s="69"/>
    </row>
    <row r="18" spans="1:11" ht="15.75">
      <c r="A18" s="229"/>
      <c r="B18" s="232"/>
      <c r="C18" s="69" t="s">
        <v>264</v>
      </c>
      <c r="D18" s="230" t="s">
        <v>265</v>
      </c>
      <c r="E18" s="69" t="s">
        <v>285</v>
      </c>
      <c r="F18" s="69"/>
      <c r="G18" s="69"/>
      <c r="H18" s="69"/>
      <c r="I18" s="69"/>
      <c r="J18" s="69"/>
      <c r="K18" s="69"/>
    </row>
    <row r="19" spans="1:11" ht="15.75">
      <c r="A19" s="229"/>
      <c r="B19" s="232"/>
      <c r="C19" s="229"/>
      <c r="D19" s="229"/>
      <c r="E19" s="69" t="s">
        <v>286</v>
      </c>
      <c r="F19" s="69"/>
      <c r="G19" s="69"/>
      <c r="H19" s="69"/>
      <c r="I19" s="69"/>
      <c r="J19" s="69"/>
      <c r="K19" s="69"/>
    </row>
    <row r="20" spans="1:11" ht="15.75">
      <c r="A20" s="229"/>
      <c r="B20" s="232"/>
      <c r="C20" s="229"/>
      <c r="D20" s="229"/>
      <c r="E20" s="69" t="s">
        <v>266</v>
      </c>
      <c r="F20" s="69"/>
      <c r="G20" s="69"/>
      <c r="H20" s="69"/>
      <c r="I20" s="69"/>
      <c r="J20" s="69"/>
      <c r="K20" s="233"/>
    </row>
    <row r="21" spans="1:11" ht="15.75">
      <c r="A21" s="229"/>
      <c r="B21" s="232"/>
      <c r="C21" s="229"/>
      <c r="D21" s="229"/>
      <c r="E21" s="69"/>
      <c r="F21" s="229"/>
      <c r="G21" s="229"/>
      <c r="H21" s="229"/>
      <c r="I21" s="69"/>
      <c r="J21" s="69"/>
      <c r="K21" s="69"/>
    </row>
    <row r="22" spans="1:11" ht="15.75">
      <c r="A22" s="229"/>
      <c r="B22" s="232"/>
      <c r="C22" s="69"/>
      <c r="D22" s="229"/>
      <c r="E22" s="229"/>
      <c r="F22" s="229"/>
      <c r="G22" s="229"/>
      <c r="H22" s="69"/>
      <c r="I22" s="69"/>
      <c r="J22" s="69"/>
      <c r="K22" s="69"/>
    </row>
    <row r="23" spans="1:11" ht="17.25">
      <c r="A23" s="229"/>
      <c r="B23" s="234"/>
      <c r="C23" s="69" t="s">
        <v>560</v>
      </c>
      <c r="D23" s="229"/>
      <c r="E23" s="229"/>
      <c r="F23" s="69"/>
      <c r="G23" s="69"/>
      <c r="H23" s="69"/>
      <c r="I23" s="69"/>
      <c r="J23" s="229"/>
      <c r="K23" s="229"/>
    </row>
    <row r="24" spans="1:11" ht="17.25">
      <c r="A24" s="229"/>
      <c r="B24" s="235"/>
      <c r="C24" s="69" t="s">
        <v>288</v>
      </c>
      <c r="D24" s="229"/>
      <c r="E24" s="229"/>
      <c r="F24" s="69"/>
      <c r="G24" s="69"/>
      <c r="H24" s="229"/>
      <c r="I24" s="69"/>
      <c r="J24" s="229"/>
      <c r="K24" s="229"/>
    </row>
    <row r="25" spans="1:11" ht="15.75">
      <c r="A25" s="229"/>
      <c r="B25" s="230"/>
      <c r="C25" s="69" t="s">
        <v>287</v>
      </c>
      <c r="D25" s="229"/>
      <c r="E25" s="229"/>
      <c r="F25" s="69"/>
      <c r="G25" s="69"/>
      <c r="H25" s="229"/>
      <c r="I25" s="229"/>
      <c r="J25" s="229"/>
      <c r="K25" s="229"/>
    </row>
    <row r="26" spans="1:11" ht="15.75">
      <c r="A26" s="229"/>
      <c r="B26" s="230"/>
      <c r="C26" s="69" t="s">
        <v>561</v>
      </c>
      <c r="D26" s="229"/>
      <c r="E26" s="229"/>
      <c r="F26" s="69"/>
      <c r="G26" s="69"/>
      <c r="H26" s="229"/>
      <c r="I26" s="229"/>
      <c r="J26" s="229"/>
      <c r="K26" s="229"/>
    </row>
    <row r="27" spans="1:11" ht="15.75">
      <c r="A27" s="229"/>
      <c r="B27" s="230"/>
      <c r="C27" s="69" t="s">
        <v>267</v>
      </c>
      <c r="D27" s="229"/>
      <c r="E27" s="229"/>
      <c r="F27" s="229"/>
      <c r="G27" s="229"/>
      <c r="H27" s="229"/>
      <c r="I27" s="229"/>
      <c r="J27" s="229"/>
      <c r="K27" s="229"/>
    </row>
    <row r="28" spans="1:11" ht="15.75">
      <c r="A28" s="229"/>
      <c r="B28" s="230"/>
      <c r="C28" s="69" t="s">
        <v>268</v>
      </c>
      <c r="D28" s="229"/>
      <c r="E28" s="229"/>
      <c r="F28" s="229"/>
      <c r="G28" s="229"/>
      <c r="H28" s="69"/>
      <c r="I28" s="229"/>
      <c r="J28" s="229"/>
      <c r="K28" s="229"/>
    </row>
    <row r="29" spans="1:11" ht="15.75">
      <c r="A29" s="229"/>
      <c r="B29" s="232"/>
      <c r="C29" s="229"/>
      <c r="D29" s="229"/>
      <c r="E29" s="229"/>
      <c r="F29" s="229"/>
      <c r="G29" s="229"/>
      <c r="H29" s="69"/>
      <c r="I29" s="69"/>
      <c r="J29" s="69"/>
      <c r="K29" s="69"/>
    </row>
    <row r="30" spans="1:11" ht="15.75">
      <c r="A30" s="236" t="s">
        <v>269</v>
      </c>
      <c r="B30" s="232"/>
      <c r="C30" s="69"/>
      <c r="D30" s="230"/>
      <c r="E30" s="69"/>
      <c r="F30" s="69"/>
      <c r="G30" s="69"/>
      <c r="H30" s="229"/>
      <c r="I30" s="230"/>
      <c r="J30" s="230"/>
      <c r="K30" s="229"/>
    </row>
    <row r="31" spans="1:11" ht="30.75">
      <c r="A31" s="229"/>
      <c r="B31" s="232"/>
      <c r="C31" s="69"/>
      <c r="D31" s="230"/>
      <c r="E31" s="69"/>
      <c r="F31" s="69"/>
      <c r="G31" s="69"/>
      <c r="H31" s="229"/>
      <c r="I31" s="261" t="s">
        <v>291</v>
      </c>
      <c r="J31" s="261" t="s">
        <v>292</v>
      </c>
      <c r="K31" s="261" t="s">
        <v>290</v>
      </c>
    </row>
    <row r="32" spans="1:11" ht="15.75">
      <c r="A32" s="232">
        <v>1</v>
      </c>
      <c r="B32" s="232" t="s">
        <v>35</v>
      </c>
      <c r="C32" s="69" t="s">
        <v>289</v>
      </c>
      <c r="D32" s="230"/>
      <c r="E32" s="69"/>
      <c r="F32" s="69"/>
      <c r="G32" s="69"/>
      <c r="H32" s="229"/>
      <c r="I32" s="238">
        <v>0</v>
      </c>
      <c r="J32" s="239"/>
      <c r="K32" s="69"/>
    </row>
    <row r="33" spans="1:11" ht="15.75">
      <c r="A33" s="232">
        <f>+A32+1</f>
        <v>2</v>
      </c>
      <c r="B33" s="232" t="s">
        <v>36</v>
      </c>
      <c r="C33" s="69" t="s">
        <v>562</v>
      </c>
      <c r="D33" s="230"/>
      <c r="E33" s="69"/>
      <c r="F33" s="69"/>
      <c r="G33" s="69"/>
      <c r="H33" s="229"/>
      <c r="I33" s="240">
        <v>0</v>
      </c>
      <c r="J33" s="241"/>
      <c r="K33" s="69"/>
    </row>
    <row r="34" spans="1:11" ht="15.75">
      <c r="A34" s="232">
        <f t="shared" ref="A34:A37" si="0">+A33+1</f>
        <v>3</v>
      </c>
      <c r="B34" s="232" t="s">
        <v>37</v>
      </c>
      <c r="C34" s="69" t="s">
        <v>272</v>
      </c>
      <c r="D34" s="230"/>
      <c r="E34" s="69"/>
      <c r="F34" s="69"/>
      <c r="G34" s="69"/>
      <c r="H34" s="229"/>
      <c r="I34" s="78">
        <f>I32-I33</f>
        <v>0</v>
      </c>
      <c r="J34" s="78">
        <f>+I34</f>
        <v>0</v>
      </c>
      <c r="K34" s="69"/>
    </row>
    <row r="35" spans="1:11" ht="15.75">
      <c r="A35" s="232">
        <f t="shared" si="0"/>
        <v>4</v>
      </c>
      <c r="B35" s="232" t="s">
        <v>176</v>
      </c>
      <c r="C35" s="69" t="s">
        <v>273</v>
      </c>
      <c r="D35" s="230"/>
      <c r="E35" s="69"/>
      <c r="F35" s="69"/>
      <c r="G35" s="69"/>
      <c r="H35" s="229"/>
      <c r="I35" s="242">
        <f>(1+E71)^24</f>
        <v>1</v>
      </c>
      <c r="J35" s="242">
        <f>(1+F71)^24</f>
        <v>1</v>
      </c>
      <c r="K35" s="69"/>
    </row>
    <row r="36" spans="1:11" ht="15.75">
      <c r="A36" s="232">
        <f t="shared" si="0"/>
        <v>5</v>
      </c>
      <c r="B36" s="232" t="s">
        <v>38</v>
      </c>
      <c r="C36" s="69" t="s">
        <v>274</v>
      </c>
      <c r="D36" s="230"/>
      <c r="E36" s="69"/>
      <c r="F36" s="69"/>
      <c r="G36" s="69"/>
      <c r="H36" s="229"/>
      <c r="I36" s="78">
        <f>+I34*I35</f>
        <v>0</v>
      </c>
      <c r="J36" s="78">
        <f>+J34*J35</f>
        <v>0</v>
      </c>
      <c r="K36" s="78">
        <f>+J36-I36</f>
        <v>0</v>
      </c>
    </row>
    <row r="37" spans="1:11" ht="15.75">
      <c r="A37" s="232">
        <f t="shared" si="0"/>
        <v>6</v>
      </c>
      <c r="B37" s="232" t="s">
        <v>39</v>
      </c>
      <c r="C37" s="69" t="s">
        <v>639</v>
      </c>
      <c r="D37" s="230"/>
      <c r="E37" s="69"/>
      <c r="F37" s="69"/>
      <c r="G37" s="69"/>
      <c r="H37" s="229"/>
      <c r="I37" s="78">
        <f>+K36</f>
        <v>0</v>
      </c>
      <c r="J37" s="78"/>
      <c r="K37" s="78"/>
    </row>
    <row r="38" spans="1:11" ht="15.75">
      <c r="A38" s="232"/>
      <c r="B38" s="232"/>
      <c r="C38" s="69"/>
      <c r="D38" s="230"/>
      <c r="E38" s="69"/>
      <c r="F38" s="69"/>
      <c r="G38" s="69"/>
      <c r="H38" s="78"/>
      <c r="I38" s="78"/>
      <c r="J38" s="69"/>
      <c r="K38" s="69"/>
    </row>
    <row r="39" spans="1:11" ht="15.75">
      <c r="A39" s="232"/>
      <c r="B39" s="232"/>
      <c r="C39" s="69"/>
      <c r="D39" s="230"/>
      <c r="E39" s="69"/>
      <c r="F39" s="69"/>
      <c r="G39" s="69"/>
      <c r="H39" s="69"/>
      <c r="I39" s="229"/>
      <c r="J39" s="69"/>
      <c r="K39" s="69"/>
    </row>
    <row r="40" spans="1:11" ht="15.75">
      <c r="A40" s="232"/>
      <c r="B40" s="232"/>
      <c r="C40" s="69" t="s">
        <v>275</v>
      </c>
      <c r="D40" s="69"/>
      <c r="E40" s="69"/>
      <c r="F40" s="69"/>
      <c r="G40" s="69"/>
      <c r="H40" s="243"/>
      <c r="I40" s="229"/>
      <c r="J40" s="229"/>
      <c r="K40" s="229"/>
    </row>
    <row r="41" spans="1:11" ht="15.75">
      <c r="A41" s="232"/>
      <c r="B41" s="232"/>
      <c r="C41" s="69" t="s">
        <v>276</v>
      </c>
      <c r="D41" s="69"/>
      <c r="E41" s="69"/>
      <c r="F41" s="69"/>
      <c r="G41" s="69"/>
      <c r="H41" s="244"/>
      <c r="I41" s="245"/>
      <c r="J41" s="246"/>
      <c r="K41" s="229"/>
    </row>
    <row r="42" spans="1:11" ht="15.75">
      <c r="A42" s="232"/>
      <c r="B42" s="232"/>
      <c r="C42" s="69"/>
      <c r="D42" s="69"/>
      <c r="E42" s="69"/>
      <c r="F42" s="69"/>
      <c r="G42" s="69"/>
      <c r="H42" s="247"/>
      <c r="I42" s="248"/>
      <c r="J42" s="248"/>
      <c r="K42" s="248"/>
    </row>
    <row r="43" spans="1:11" ht="15.75">
      <c r="A43" s="232"/>
      <c r="B43" s="68" t="s">
        <v>277</v>
      </c>
      <c r="C43" s="69"/>
      <c r="D43" s="69"/>
      <c r="E43" s="230" t="s">
        <v>270</v>
      </c>
      <c r="F43" s="230" t="s">
        <v>278</v>
      </c>
      <c r="G43" s="69"/>
      <c r="H43" s="247"/>
      <c r="I43" s="248"/>
      <c r="J43" s="248"/>
      <c r="K43" s="248"/>
    </row>
    <row r="44" spans="1:11" ht="20.25">
      <c r="A44" s="232"/>
      <c r="B44" s="229"/>
      <c r="C44" s="230"/>
      <c r="D44" s="69"/>
      <c r="E44" s="230" t="s">
        <v>279</v>
      </c>
      <c r="F44" s="230" t="s">
        <v>279</v>
      </c>
      <c r="G44" s="229"/>
      <c r="H44" s="249"/>
      <c r="I44" s="247"/>
      <c r="J44" s="243"/>
      <c r="K44" s="250"/>
    </row>
    <row r="45" spans="1:11" ht="17.25">
      <c r="A45" s="232"/>
      <c r="B45" s="251" t="s">
        <v>50</v>
      </c>
      <c r="C45" s="237" t="s">
        <v>199</v>
      </c>
      <c r="D45" s="69"/>
      <c r="E45" s="237" t="s">
        <v>271</v>
      </c>
      <c r="F45" s="237" t="s">
        <v>271</v>
      </c>
      <c r="G45" s="229"/>
      <c r="H45" s="252"/>
      <c r="I45" s="246"/>
      <c r="J45" s="253"/>
      <c r="K45" s="250"/>
    </row>
    <row r="46" spans="1:11" ht="15.75">
      <c r="A46" s="232">
        <f>+A37+1</f>
        <v>7</v>
      </c>
      <c r="B46" s="68" t="s">
        <v>56</v>
      </c>
      <c r="C46" s="230" t="s">
        <v>280</v>
      </c>
      <c r="D46" s="69"/>
      <c r="E46" s="254">
        <v>0</v>
      </c>
      <c r="F46" s="254">
        <v>0</v>
      </c>
      <c r="G46" s="68"/>
      <c r="H46" s="255"/>
      <c r="I46" s="256"/>
      <c r="J46" s="257"/>
      <c r="K46" s="250"/>
    </row>
    <row r="47" spans="1:11" ht="15.75">
      <c r="A47" s="232">
        <f>+A46+1</f>
        <v>8</v>
      </c>
      <c r="B47" s="68" t="s">
        <v>127</v>
      </c>
      <c r="C47" s="230" t="s">
        <v>280</v>
      </c>
      <c r="D47" s="69"/>
      <c r="E47" s="254">
        <v>0</v>
      </c>
      <c r="F47" s="254">
        <v>0</v>
      </c>
      <c r="G47" s="258"/>
      <c r="H47" s="230"/>
      <c r="I47" s="69"/>
      <c r="J47" s="255"/>
      <c r="K47" s="250"/>
    </row>
    <row r="48" spans="1:11" ht="15.75">
      <c r="A48" s="232">
        <f t="shared" ref="A48:A69" si="1">+A47+1</f>
        <v>9</v>
      </c>
      <c r="B48" s="68" t="s">
        <v>58</v>
      </c>
      <c r="C48" s="230" t="s">
        <v>280</v>
      </c>
      <c r="D48" s="69"/>
      <c r="E48" s="254">
        <v>0</v>
      </c>
      <c r="F48" s="254">
        <v>0</v>
      </c>
      <c r="G48" s="69"/>
      <c r="H48" s="230"/>
      <c r="I48" s="69"/>
      <c r="J48" s="230"/>
      <c r="K48" s="250"/>
    </row>
    <row r="49" spans="1:6" ht="15.75">
      <c r="A49" s="232">
        <f t="shared" si="1"/>
        <v>10</v>
      </c>
      <c r="B49" s="68" t="s">
        <v>59</v>
      </c>
      <c r="C49" s="230" t="s">
        <v>280</v>
      </c>
      <c r="D49" s="69"/>
      <c r="E49" s="254">
        <v>0</v>
      </c>
      <c r="F49" s="254">
        <v>0</v>
      </c>
    </row>
    <row r="50" spans="1:6" ht="15.75">
      <c r="A50" s="232">
        <f t="shared" si="1"/>
        <v>11</v>
      </c>
      <c r="B50" s="68" t="s">
        <v>60</v>
      </c>
      <c r="C50" s="230" t="s">
        <v>280</v>
      </c>
      <c r="D50" s="69"/>
      <c r="E50" s="254">
        <v>0</v>
      </c>
      <c r="F50" s="254">
        <v>0</v>
      </c>
    </row>
    <row r="51" spans="1:6" ht="15.75">
      <c r="A51" s="232">
        <f t="shared" si="1"/>
        <v>12</v>
      </c>
      <c r="B51" s="68" t="s">
        <v>128</v>
      </c>
      <c r="C51" s="230" t="s">
        <v>280</v>
      </c>
      <c r="D51" s="69"/>
      <c r="E51" s="254">
        <v>0</v>
      </c>
      <c r="F51" s="254">
        <v>0</v>
      </c>
    </row>
    <row r="52" spans="1:6" ht="15.75">
      <c r="A52" s="232">
        <f t="shared" si="1"/>
        <v>13</v>
      </c>
      <c r="B52" s="68" t="s">
        <v>124</v>
      </c>
      <c r="C52" s="230" t="s">
        <v>281</v>
      </c>
      <c r="D52" s="69"/>
      <c r="E52" s="254">
        <v>0</v>
      </c>
      <c r="F52" s="254">
        <v>0</v>
      </c>
    </row>
    <row r="53" spans="1:6" ht="15.75">
      <c r="A53" s="232">
        <f t="shared" si="1"/>
        <v>14</v>
      </c>
      <c r="B53" s="68" t="s">
        <v>52</v>
      </c>
      <c r="C53" s="230" t="s">
        <v>281</v>
      </c>
      <c r="D53" s="69"/>
      <c r="E53" s="254">
        <v>0</v>
      </c>
      <c r="F53" s="254">
        <v>0</v>
      </c>
    </row>
    <row r="54" spans="1:6" ht="15.75">
      <c r="A54" s="232">
        <f t="shared" si="1"/>
        <v>15</v>
      </c>
      <c r="B54" s="68" t="s">
        <v>125</v>
      </c>
      <c r="C54" s="230" t="s">
        <v>281</v>
      </c>
      <c r="D54" s="69"/>
      <c r="E54" s="254">
        <v>0</v>
      </c>
      <c r="F54" s="254">
        <v>0</v>
      </c>
    </row>
    <row r="55" spans="1:6" ht="15.75">
      <c r="A55" s="232">
        <f t="shared" si="1"/>
        <v>16</v>
      </c>
      <c r="B55" s="68" t="s">
        <v>54</v>
      </c>
      <c r="C55" s="230" t="s">
        <v>281</v>
      </c>
      <c r="D55" s="69"/>
      <c r="E55" s="254">
        <v>0</v>
      </c>
      <c r="F55" s="254">
        <v>0</v>
      </c>
    </row>
    <row r="56" spans="1:6" ht="15.75">
      <c r="A56" s="232">
        <f t="shared" si="1"/>
        <v>17</v>
      </c>
      <c r="B56" s="68" t="s">
        <v>51</v>
      </c>
      <c r="C56" s="230" t="s">
        <v>281</v>
      </c>
      <c r="D56" s="69"/>
      <c r="E56" s="254">
        <v>0</v>
      </c>
      <c r="F56" s="254">
        <v>0</v>
      </c>
    </row>
    <row r="57" spans="1:6" ht="15.75">
      <c r="A57" s="232">
        <f t="shared" si="1"/>
        <v>18</v>
      </c>
      <c r="B57" s="68" t="s">
        <v>55</v>
      </c>
      <c r="C57" s="230" t="s">
        <v>281</v>
      </c>
      <c r="D57" s="69"/>
      <c r="E57" s="254">
        <v>0</v>
      </c>
      <c r="F57" s="254">
        <v>0</v>
      </c>
    </row>
    <row r="58" spans="1:6" ht="15.75">
      <c r="A58" s="232">
        <f t="shared" si="1"/>
        <v>19</v>
      </c>
      <c r="B58" s="68" t="s">
        <v>56</v>
      </c>
      <c r="C58" s="230" t="s">
        <v>281</v>
      </c>
      <c r="D58" s="69"/>
      <c r="E58" s="254">
        <v>0</v>
      </c>
      <c r="F58" s="254">
        <v>0</v>
      </c>
    </row>
    <row r="59" spans="1:6" ht="15.75">
      <c r="A59" s="232">
        <f t="shared" si="1"/>
        <v>20</v>
      </c>
      <c r="B59" s="68" t="s">
        <v>127</v>
      </c>
      <c r="C59" s="230" t="s">
        <v>281</v>
      </c>
      <c r="D59" s="69"/>
      <c r="E59" s="254">
        <v>0</v>
      </c>
      <c r="F59" s="254">
        <v>0</v>
      </c>
    </row>
    <row r="60" spans="1:6" ht="15.75">
      <c r="A60" s="232">
        <f t="shared" si="1"/>
        <v>21</v>
      </c>
      <c r="B60" s="68" t="s">
        <v>58</v>
      </c>
      <c r="C60" s="230" t="s">
        <v>281</v>
      </c>
      <c r="D60" s="69"/>
      <c r="E60" s="254">
        <v>0</v>
      </c>
      <c r="F60" s="254">
        <v>0</v>
      </c>
    </row>
    <row r="61" spans="1:6" ht="15.75">
      <c r="A61" s="232">
        <f t="shared" si="1"/>
        <v>22</v>
      </c>
      <c r="B61" s="68" t="s">
        <v>59</v>
      </c>
      <c r="C61" s="230" t="s">
        <v>281</v>
      </c>
      <c r="D61" s="69"/>
      <c r="E61" s="254">
        <v>0</v>
      </c>
      <c r="F61" s="254">
        <v>0</v>
      </c>
    </row>
    <row r="62" spans="1:6" ht="15.75">
      <c r="A62" s="232">
        <f t="shared" si="1"/>
        <v>23</v>
      </c>
      <c r="B62" s="68" t="s">
        <v>60</v>
      </c>
      <c r="C62" s="230" t="s">
        <v>281</v>
      </c>
      <c r="D62" s="69"/>
      <c r="E62" s="254">
        <v>0</v>
      </c>
      <c r="F62" s="254">
        <v>0</v>
      </c>
    </row>
    <row r="63" spans="1:6" ht="15.75">
      <c r="A63" s="232">
        <f t="shared" si="1"/>
        <v>24</v>
      </c>
      <c r="B63" s="68" t="s">
        <v>128</v>
      </c>
      <c r="C63" s="230" t="s">
        <v>281</v>
      </c>
      <c r="D63" s="69"/>
      <c r="E63" s="254">
        <v>0</v>
      </c>
      <c r="F63" s="254">
        <v>0</v>
      </c>
    </row>
    <row r="64" spans="1:6" ht="15.75">
      <c r="A64" s="232">
        <f t="shared" si="1"/>
        <v>25</v>
      </c>
      <c r="B64" s="68" t="s">
        <v>124</v>
      </c>
      <c r="C64" s="230" t="s">
        <v>282</v>
      </c>
      <c r="D64" s="69"/>
      <c r="E64" s="254">
        <v>0</v>
      </c>
      <c r="F64" s="254">
        <v>0</v>
      </c>
    </row>
    <row r="65" spans="1:6" ht="15.75">
      <c r="A65" s="232">
        <f t="shared" si="1"/>
        <v>26</v>
      </c>
      <c r="B65" s="68" t="s">
        <v>52</v>
      </c>
      <c r="C65" s="230" t="s">
        <v>282</v>
      </c>
      <c r="D65" s="69"/>
      <c r="E65" s="254">
        <v>0</v>
      </c>
      <c r="F65" s="254">
        <v>0</v>
      </c>
    </row>
    <row r="66" spans="1:6" ht="15.75">
      <c r="A66" s="232">
        <f t="shared" si="1"/>
        <v>27</v>
      </c>
      <c r="B66" s="68" t="s">
        <v>125</v>
      </c>
      <c r="C66" s="230" t="s">
        <v>282</v>
      </c>
      <c r="D66" s="69"/>
      <c r="E66" s="254">
        <v>0</v>
      </c>
      <c r="F66" s="254">
        <v>0</v>
      </c>
    </row>
    <row r="67" spans="1:6" ht="15.75">
      <c r="A67" s="232">
        <f t="shared" si="1"/>
        <v>28</v>
      </c>
      <c r="B67" s="68" t="s">
        <v>54</v>
      </c>
      <c r="C67" s="230" t="s">
        <v>282</v>
      </c>
      <c r="D67" s="69"/>
      <c r="E67" s="254">
        <v>0</v>
      </c>
      <c r="F67" s="254">
        <v>0</v>
      </c>
    </row>
    <row r="68" spans="1:6" ht="15.75">
      <c r="A68" s="232">
        <f t="shared" si="1"/>
        <v>29</v>
      </c>
      <c r="B68" s="68" t="s">
        <v>51</v>
      </c>
      <c r="C68" s="230" t="s">
        <v>282</v>
      </c>
      <c r="D68" s="69"/>
      <c r="E68" s="254">
        <v>0</v>
      </c>
      <c r="F68" s="254">
        <v>0</v>
      </c>
    </row>
    <row r="69" spans="1:6" ht="15.75">
      <c r="A69" s="232">
        <f t="shared" si="1"/>
        <v>30</v>
      </c>
      <c r="B69" s="68" t="s">
        <v>55</v>
      </c>
      <c r="C69" s="230" t="s">
        <v>282</v>
      </c>
      <c r="D69" s="69"/>
      <c r="E69" s="254">
        <v>0</v>
      </c>
      <c r="F69" s="254">
        <v>0</v>
      </c>
    </row>
    <row r="70" spans="1:6">
      <c r="A70" s="232"/>
      <c r="B70" s="259"/>
      <c r="C70" s="229"/>
      <c r="D70" s="229"/>
      <c r="E70" s="229"/>
      <c r="F70" s="229"/>
    </row>
    <row r="71" spans="1:6" ht="15.75">
      <c r="A71" s="232">
        <f>+A69+1</f>
        <v>31</v>
      </c>
      <c r="B71" s="68" t="s">
        <v>76</v>
      </c>
      <c r="C71" s="229"/>
      <c r="D71" s="229"/>
      <c r="E71" s="260">
        <f>+SUM(E46:E69)/24</f>
        <v>0</v>
      </c>
      <c r="F71" s="260">
        <f>+SUM(F46:F69)/24</f>
        <v>0</v>
      </c>
    </row>
    <row r="72" spans="1:6">
      <c r="A72" s="229"/>
      <c r="B72" s="232"/>
      <c r="C72" s="229"/>
      <c r="D72" s="229"/>
      <c r="E72" s="229"/>
      <c r="F72" s="229"/>
    </row>
    <row r="74" spans="1:6" ht="15.75">
      <c r="B74" s="53" t="s">
        <v>640</v>
      </c>
    </row>
  </sheetData>
  <mergeCells count="4">
    <mergeCell ref="B1:J1"/>
    <mergeCell ref="B2:J2"/>
    <mergeCell ref="K2:L2"/>
    <mergeCell ref="B3:J3"/>
  </mergeCell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2"/>
  <sheetViews>
    <sheetView zoomScaleNormal="100" workbookViewId="0">
      <selection activeCell="A52" sqref="A52:C52"/>
    </sheetView>
  </sheetViews>
  <sheetFormatPr defaultColWidth="9.140625" defaultRowHeight="15"/>
  <cols>
    <col min="1" max="1" width="40.140625" style="53" customWidth="1"/>
    <col min="2" max="2" width="49.28515625" style="53" bestFit="1" customWidth="1"/>
    <col min="3" max="3" width="17.140625" style="53" customWidth="1"/>
    <col min="4" max="4" width="9" style="53" bestFit="1" customWidth="1"/>
    <col min="5" max="5" width="7.140625" style="53" bestFit="1" customWidth="1"/>
    <col min="6" max="6" width="19.42578125" style="53" customWidth="1"/>
    <col min="7" max="16384" width="9.140625" style="53"/>
  </cols>
  <sheetData>
    <row r="1" spans="1:7" ht="15.75">
      <c r="A1" s="694" t="s">
        <v>576</v>
      </c>
      <c r="B1" s="694"/>
      <c r="C1" s="694"/>
      <c r="D1" s="344"/>
    </row>
    <row r="2" spans="1:7" ht="15.75">
      <c r="A2" s="694" t="s">
        <v>550</v>
      </c>
      <c r="B2" s="694"/>
      <c r="C2" s="694"/>
      <c r="D2" s="344"/>
    </row>
    <row r="3" spans="1:7" ht="15.75">
      <c r="A3" s="695" t="str">
        <f>+'Appendix A'!H3</f>
        <v>Projected ATRR or Actual ATRR for the 12 Months Ended 12/31/XXXX</v>
      </c>
      <c r="B3" s="695"/>
      <c r="C3" s="695"/>
      <c r="D3" s="344"/>
      <c r="F3" s="589"/>
    </row>
    <row r="4" spans="1:7">
      <c r="D4" s="344"/>
    </row>
    <row r="5" spans="1:7">
      <c r="A5" s="697"/>
      <c r="B5" s="697"/>
      <c r="C5" s="697"/>
      <c r="D5" s="697"/>
      <c r="E5" s="697"/>
      <c r="F5" s="697"/>
      <c r="G5" s="697"/>
    </row>
    <row r="6" spans="1:7">
      <c r="A6" s="698"/>
      <c r="B6" s="698"/>
      <c r="C6" s="698"/>
      <c r="D6" s="698"/>
      <c r="E6" s="698"/>
      <c r="F6" s="698"/>
      <c r="G6" s="698"/>
    </row>
    <row r="7" spans="1:7">
      <c r="A7" s="64"/>
      <c r="B7" s="64"/>
      <c r="C7" s="132"/>
      <c r="D7" s="262"/>
      <c r="E7" s="64"/>
      <c r="F7" s="64"/>
      <c r="G7" s="64"/>
    </row>
    <row r="8" spans="1:7" ht="30">
      <c r="A8" s="282" t="s">
        <v>599</v>
      </c>
      <c r="B8" s="314" t="s">
        <v>293</v>
      </c>
      <c r="C8" s="590" t="s">
        <v>600</v>
      </c>
      <c r="D8" s="262"/>
      <c r="E8" s="64"/>
      <c r="F8" s="64"/>
      <c r="G8" s="64"/>
    </row>
    <row r="9" spans="1:7">
      <c r="D9" s="262"/>
      <c r="E9" s="64"/>
      <c r="F9" s="64"/>
      <c r="G9" s="64"/>
    </row>
    <row r="10" spans="1:7" ht="15.75">
      <c r="A10" s="588" t="s">
        <v>581</v>
      </c>
      <c r="D10" s="262"/>
      <c r="E10" s="64"/>
      <c r="F10" s="64"/>
      <c r="G10" s="64"/>
    </row>
    <row r="11" spans="1:7">
      <c r="A11" s="313"/>
      <c r="B11" s="313"/>
      <c r="C11" s="313"/>
      <c r="D11" s="262"/>
      <c r="E11" s="64"/>
      <c r="F11" s="64"/>
      <c r="G11" s="64"/>
    </row>
    <row r="12" spans="1:7" s="73" customFormat="1">
      <c r="A12" s="67">
        <v>303</v>
      </c>
      <c r="B12" s="67" t="s">
        <v>591</v>
      </c>
      <c r="C12" s="610">
        <v>2.86E-2</v>
      </c>
      <c r="D12" s="607"/>
    </row>
    <row r="13" spans="1:7">
      <c r="A13" s="67">
        <v>350.1</v>
      </c>
      <c r="B13" s="67" t="s">
        <v>294</v>
      </c>
      <c r="C13" s="132">
        <v>1.11E-2</v>
      </c>
      <c r="D13" s="262"/>
      <c r="E13" s="64"/>
      <c r="F13" s="64"/>
      <c r="G13" s="64"/>
    </row>
    <row r="14" spans="1:7">
      <c r="A14" s="67">
        <v>352</v>
      </c>
      <c r="B14" s="64" t="s">
        <v>295</v>
      </c>
      <c r="C14" s="132">
        <f>0.0125+0.0019</f>
        <v>1.4400000000000001E-2</v>
      </c>
      <c r="D14" s="344"/>
      <c r="E14" s="264"/>
      <c r="F14" s="64"/>
      <c r="G14" s="64"/>
    </row>
    <row r="15" spans="1:7">
      <c r="A15" s="67">
        <v>353</v>
      </c>
      <c r="B15" s="64" t="s">
        <v>296</v>
      </c>
      <c r="C15" s="132">
        <f>0.0192+0.0038</f>
        <v>2.3E-2</v>
      </c>
      <c r="D15" s="344"/>
      <c r="E15" s="264"/>
      <c r="F15" s="64"/>
      <c r="G15" s="64"/>
    </row>
    <row r="16" spans="1:7">
      <c r="A16" s="67">
        <v>354</v>
      </c>
      <c r="B16" s="64" t="s">
        <v>297</v>
      </c>
      <c r="C16" s="132">
        <f>0.0125+0.0038</f>
        <v>1.6300000000000002E-2</v>
      </c>
      <c r="D16" s="344"/>
      <c r="E16" s="264"/>
      <c r="F16" s="64"/>
      <c r="G16" s="64"/>
    </row>
    <row r="17" spans="1:3">
      <c r="A17" s="67">
        <v>355</v>
      </c>
      <c r="B17" s="64" t="s">
        <v>298</v>
      </c>
      <c r="C17" s="132">
        <f>0.0192+0.0096</f>
        <v>2.8799999999999999E-2</v>
      </c>
    </row>
    <row r="18" spans="1:3">
      <c r="A18" s="67">
        <v>356</v>
      </c>
      <c r="B18" s="64" t="s">
        <v>582</v>
      </c>
      <c r="C18" s="132">
        <f>0.0143+0.005</f>
        <v>1.9300000000000001E-2</v>
      </c>
    </row>
    <row r="19" spans="1:3">
      <c r="A19" s="67">
        <v>356.3</v>
      </c>
      <c r="B19" s="64" t="s">
        <v>583</v>
      </c>
      <c r="C19" s="611">
        <f>0.025+0.0025</f>
        <v>2.75E-2</v>
      </c>
    </row>
    <row r="20" spans="1:3">
      <c r="A20" s="67">
        <v>357</v>
      </c>
      <c r="B20" s="64" t="s">
        <v>299</v>
      </c>
      <c r="C20" s="132">
        <v>2.4400000000000002E-2</v>
      </c>
    </row>
    <row r="21" spans="1:3">
      <c r="A21" s="67">
        <v>358</v>
      </c>
      <c r="B21" s="64" t="s">
        <v>584</v>
      </c>
      <c r="C21" s="132">
        <f>0.0182+0.0009</f>
        <v>1.9100000000000002E-2</v>
      </c>
    </row>
    <row r="22" spans="1:3" s="73" customFormat="1">
      <c r="A22" s="67">
        <v>390</v>
      </c>
      <c r="B22" s="64" t="s">
        <v>295</v>
      </c>
      <c r="C22" s="132">
        <v>3.2500000000000001E-2</v>
      </c>
    </row>
    <row r="23" spans="1:3">
      <c r="A23" s="64"/>
      <c r="B23" s="77"/>
      <c r="C23" s="263"/>
    </row>
    <row r="24" spans="1:3" ht="15.75">
      <c r="A24" s="588" t="s">
        <v>585</v>
      </c>
      <c r="B24" s="64"/>
      <c r="C24" s="612"/>
    </row>
    <row r="25" spans="1:3" ht="15.75">
      <c r="A25" s="588"/>
      <c r="B25" s="64"/>
      <c r="C25" s="613"/>
    </row>
    <row r="26" spans="1:3">
      <c r="A26" s="67">
        <v>390</v>
      </c>
      <c r="B26" s="64" t="s">
        <v>586</v>
      </c>
      <c r="C26" s="132">
        <f>0.02+0.011</f>
        <v>3.1E-2</v>
      </c>
    </row>
    <row r="27" spans="1:3">
      <c r="A27" s="67" t="s">
        <v>634</v>
      </c>
      <c r="B27" s="64" t="s">
        <v>631</v>
      </c>
      <c r="C27" s="132">
        <v>0.125</v>
      </c>
    </row>
    <row r="28" spans="1:3">
      <c r="A28" s="67" t="s">
        <v>635</v>
      </c>
      <c r="B28" s="64" t="s">
        <v>632</v>
      </c>
      <c r="C28" s="132">
        <v>8.3299999999999999E-2</v>
      </c>
    </row>
    <row r="29" spans="1:3">
      <c r="A29" s="67" t="s">
        <v>636</v>
      </c>
      <c r="B29" s="64" t="s">
        <v>633</v>
      </c>
      <c r="C29" s="132">
        <v>0.05</v>
      </c>
    </row>
    <row r="30" spans="1:3">
      <c r="A30" s="67">
        <v>391.22</v>
      </c>
      <c r="B30" s="64" t="s">
        <v>587</v>
      </c>
      <c r="C30" s="132">
        <v>0.05</v>
      </c>
    </row>
    <row r="31" spans="1:3">
      <c r="A31" s="67">
        <v>392</v>
      </c>
      <c r="B31" s="64" t="s">
        <v>588</v>
      </c>
      <c r="C31" s="132">
        <f>0.1-0.01</f>
        <v>9.0000000000000011E-2</v>
      </c>
    </row>
    <row r="32" spans="1:3">
      <c r="A32" s="67">
        <v>393</v>
      </c>
      <c r="B32" s="64" t="s">
        <v>300</v>
      </c>
      <c r="C32" s="132">
        <v>2.86E-2</v>
      </c>
    </row>
    <row r="33" spans="1:3">
      <c r="A33" s="67">
        <v>394</v>
      </c>
      <c r="B33" s="64" t="s">
        <v>589</v>
      </c>
      <c r="C33" s="132">
        <v>3.3300000000000003E-2</v>
      </c>
    </row>
    <row r="34" spans="1:3">
      <c r="A34" s="67">
        <v>395</v>
      </c>
      <c r="B34" s="64" t="s">
        <v>301</v>
      </c>
      <c r="C34" s="132">
        <v>2.86E-2</v>
      </c>
    </row>
    <row r="35" spans="1:3">
      <c r="A35" s="67">
        <v>396</v>
      </c>
      <c r="B35" s="64" t="s">
        <v>302</v>
      </c>
      <c r="C35" s="132">
        <f>0.0833-0.0083</f>
        <v>7.4999999999999997E-2</v>
      </c>
    </row>
    <row r="36" spans="1:3">
      <c r="A36" s="67" t="s">
        <v>649</v>
      </c>
      <c r="B36" s="64" t="s">
        <v>638</v>
      </c>
      <c r="C36" s="132">
        <v>0.05</v>
      </c>
    </row>
    <row r="37" spans="1:3">
      <c r="A37" s="67" t="s">
        <v>637</v>
      </c>
      <c r="B37" s="64" t="s">
        <v>648</v>
      </c>
      <c r="C37" s="132">
        <v>0.1</v>
      </c>
    </row>
    <row r="38" spans="1:3">
      <c r="A38" s="67">
        <v>398</v>
      </c>
      <c r="B38" s="64" t="s">
        <v>303</v>
      </c>
      <c r="C38" s="132">
        <v>3.3000000000000002E-2</v>
      </c>
    </row>
    <row r="39" spans="1:3">
      <c r="A39" s="64"/>
      <c r="B39" s="64"/>
      <c r="C39" s="614"/>
    </row>
    <row r="40" spans="1:3" ht="15.75">
      <c r="A40" s="588" t="s">
        <v>590</v>
      </c>
      <c r="B40" s="64" t="s">
        <v>650</v>
      </c>
      <c r="C40" s="612"/>
    </row>
    <row r="41" spans="1:3">
      <c r="A41" s="67"/>
      <c r="B41" s="64"/>
      <c r="C41" s="613"/>
    </row>
    <row r="42" spans="1:3">
      <c r="A42" s="67">
        <v>303</v>
      </c>
      <c r="B42" s="64" t="s">
        <v>592</v>
      </c>
      <c r="C42" s="615">
        <v>0.33333299999999999</v>
      </c>
    </row>
    <row r="43" spans="1:3">
      <c r="A43" s="67">
        <v>303</v>
      </c>
      <c r="B43" s="64" t="s">
        <v>593</v>
      </c>
      <c r="C43" s="616">
        <v>0.2</v>
      </c>
    </row>
    <row r="44" spans="1:3">
      <c r="A44" s="67">
        <v>303</v>
      </c>
      <c r="B44" s="64" t="s">
        <v>594</v>
      </c>
      <c r="C44" s="616">
        <v>0.1</v>
      </c>
    </row>
    <row r="45" spans="1:3">
      <c r="A45" s="67">
        <v>303</v>
      </c>
      <c r="B45" s="64" t="s">
        <v>595</v>
      </c>
      <c r="C45" s="616">
        <v>6.6659999999999997E-2</v>
      </c>
    </row>
    <row r="46" spans="1:3">
      <c r="A46" s="67">
        <v>303</v>
      </c>
      <c r="B46" s="64" t="s">
        <v>596</v>
      </c>
      <c r="C46" s="616">
        <v>0.2</v>
      </c>
    </row>
    <row r="47" spans="1:3">
      <c r="A47" s="67">
        <v>303</v>
      </c>
      <c r="B47" s="64" t="s">
        <v>597</v>
      </c>
      <c r="C47" s="616">
        <v>0.05</v>
      </c>
    </row>
    <row r="48" spans="1:3" ht="30">
      <c r="A48" s="67">
        <v>303</v>
      </c>
      <c r="B48" s="94" t="s">
        <v>598</v>
      </c>
      <c r="C48" s="617" t="s">
        <v>603</v>
      </c>
    </row>
    <row r="50" spans="1:3" ht="31.5" customHeight="1">
      <c r="A50" s="696" t="s">
        <v>601</v>
      </c>
      <c r="B50" s="696"/>
      <c r="C50" s="696"/>
    </row>
    <row r="51" spans="1:3" ht="46.5" customHeight="1">
      <c r="A51" s="696" t="s">
        <v>602</v>
      </c>
      <c r="B51" s="696"/>
      <c r="C51" s="696"/>
    </row>
    <row r="52" spans="1:3" ht="82.5" customHeight="1">
      <c r="A52" s="661" t="s">
        <v>651</v>
      </c>
      <c r="B52" s="661"/>
      <c r="C52" s="661"/>
    </row>
  </sheetData>
  <mergeCells count="8">
    <mergeCell ref="A1:C1"/>
    <mergeCell ref="A2:C2"/>
    <mergeCell ref="A3:C3"/>
    <mergeCell ref="A52:C52"/>
    <mergeCell ref="A50:C50"/>
    <mergeCell ref="A51:C51"/>
    <mergeCell ref="A5:G5"/>
    <mergeCell ref="A6:G6"/>
  </mergeCells>
  <pageMargins left="0.7" right="0.7" top="0.75" bottom="0.75" header="0.3" footer="0.3"/>
  <pageSetup scale="5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B35" sqref="B35:F35"/>
    </sheetView>
  </sheetViews>
  <sheetFormatPr defaultRowHeight="15"/>
  <cols>
    <col min="1" max="1" width="6.5703125" customWidth="1"/>
    <col min="2" max="2" width="63.28515625" customWidth="1"/>
    <col min="3" max="3" width="19.140625" customWidth="1"/>
    <col min="4" max="4" width="18.140625" bestFit="1" customWidth="1"/>
    <col min="5" max="5" width="2" customWidth="1"/>
    <col min="6" max="6" width="19.42578125" customWidth="1"/>
    <col min="7" max="7" width="1.7109375" customWidth="1"/>
  </cols>
  <sheetData>
    <row r="1" spans="1:7" ht="15.75">
      <c r="A1" s="700" t="s">
        <v>576</v>
      </c>
      <c r="B1" s="700"/>
      <c r="C1" s="700"/>
      <c r="D1" s="700"/>
      <c r="E1" s="700"/>
      <c r="F1" s="700"/>
      <c r="G1" s="700"/>
    </row>
    <row r="2" spans="1:7" ht="15.75">
      <c r="A2" s="701" t="s">
        <v>572</v>
      </c>
      <c r="B2" s="701"/>
      <c r="C2" s="701"/>
      <c r="D2" s="701"/>
      <c r="E2" s="701"/>
      <c r="F2" s="701"/>
      <c r="G2" s="701"/>
    </row>
    <row r="3" spans="1:7" ht="15.75">
      <c r="A3" s="702" t="str">
        <f>+'Appendix A'!H3</f>
        <v>Projected ATRR or Actual ATRR for the 12 Months Ended 12/31/XXXX</v>
      </c>
      <c r="B3" s="702"/>
      <c r="C3" s="702"/>
      <c r="D3" s="702"/>
      <c r="E3" s="702"/>
      <c r="F3" s="702"/>
      <c r="G3" s="702"/>
    </row>
    <row r="4" spans="1:7" ht="15.75">
      <c r="A4" s="67"/>
      <c r="B4" s="64"/>
      <c r="C4" s="64"/>
      <c r="D4" s="64"/>
      <c r="E4" s="64"/>
      <c r="F4" s="64"/>
      <c r="G4" s="265"/>
    </row>
    <row r="5" spans="1:7" ht="15.75">
      <c r="A5" s="67"/>
      <c r="B5" s="64" t="s">
        <v>215</v>
      </c>
      <c r="C5" s="64"/>
      <c r="D5" s="64"/>
      <c r="E5" s="64"/>
      <c r="F5" s="64"/>
      <c r="G5" s="265"/>
    </row>
    <row r="6" spans="1:7" ht="15.75">
      <c r="A6" s="266"/>
      <c r="B6" s="267"/>
      <c r="C6" s="266"/>
      <c r="D6" s="268" t="s">
        <v>68</v>
      </c>
      <c r="E6" s="266"/>
      <c r="F6" s="268" t="s">
        <v>69</v>
      </c>
      <c r="G6" s="269"/>
    </row>
    <row r="7" spans="1:7" ht="15.75">
      <c r="A7" s="64"/>
      <c r="B7" s="64"/>
      <c r="C7" s="64"/>
      <c r="D7" s="64"/>
      <c r="E7" s="64"/>
      <c r="F7" s="75" t="s">
        <v>304</v>
      </c>
      <c r="G7" s="270"/>
    </row>
    <row r="8" spans="1:7" ht="15.75">
      <c r="A8" s="64"/>
      <c r="B8" s="64"/>
      <c r="C8" s="64"/>
      <c r="D8" s="75" t="s">
        <v>305</v>
      </c>
      <c r="E8" s="64"/>
      <c r="F8" s="271"/>
      <c r="G8" s="265"/>
    </row>
    <row r="9" spans="1:7" ht="15.75">
      <c r="A9" s="75" t="s">
        <v>6</v>
      </c>
      <c r="B9" s="64"/>
      <c r="C9" s="64"/>
      <c r="D9" s="75" t="s">
        <v>306</v>
      </c>
      <c r="E9" s="64"/>
      <c r="F9" s="75" t="s">
        <v>305</v>
      </c>
      <c r="G9" s="265"/>
    </row>
    <row r="10" spans="1:7" ht="15.75">
      <c r="A10" s="169" t="s">
        <v>7</v>
      </c>
      <c r="B10" s="168" t="s">
        <v>230</v>
      </c>
      <c r="C10" s="169" t="s">
        <v>307</v>
      </c>
      <c r="D10" s="169" t="s">
        <v>308</v>
      </c>
      <c r="E10" s="64"/>
      <c r="F10" s="169" t="s">
        <v>309</v>
      </c>
      <c r="G10" s="265"/>
    </row>
    <row r="11" spans="1:7" ht="15.75">
      <c r="A11" s="64"/>
      <c r="B11" s="64"/>
      <c r="C11" s="64"/>
      <c r="D11" s="64"/>
      <c r="E11" s="64"/>
      <c r="F11" s="169"/>
      <c r="G11" s="265"/>
    </row>
    <row r="12" spans="1:7" ht="15.75">
      <c r="A12" s="272">
        <v>1</v>
      </c>
      <c r="B12" s="273" t="s">
        <v>310</v>
      </c>
      <c r="C12" s="227"/>
      <c r="D12" s="274"/>
      <c r="E12" s="274"/>
      <c r="F12" s="275"/>
      <c r="G12" s="265"/>
    </row>
    <row r="13" spans="1:7" ht="15.75">
      <c r="A13" s="272">
        <f>+A12+1</f>
        <v>2</v>
      </c>
      <c r="B13" s="64" t="s">
        <v>311</v>
      </c>
      <c r="C13" s="227"/>
      <c r="D13" s="274"/>
      <c r="E13" s="274"/>
      <c r="F13" s="276">
        <v>0</v>
      </c>
      <c r="G13" s="265"/>
    </row>
    <row r="14" spans="1:7" ht="15.75">
      <c r="A14" s="272"/>
      <c r="B14" s="64"/>
      <c r="C14" s="64"/>
      <c r="D14" s="274"/>
      <c r="E14" s="274"/>
      <c r="F14" s="277"/>
      <c r="G14" s="265"/>
    </row>
    <row r="15" spans="1:7" ht="15.75">
      <c r="A15" s="272">
        <f>+A13+1</f>
        <v>3</v>
      </c>
      <c r="B15" s="278" t="s">
        <v>312</v>
      </c>
      <c r="C15" s="227"/>
      <c r="D15" s="279"/>
      <c r="E15" s="274"/>
      <c r="F15" s="238">
        <v>0</v>
      </c>
      <c r="G15" s="265"/>
    </row>
    <row r="16" spans="1:7" ht="15.75">
      <c r="A16" s="272">
        <f t="shared" ref="A16:A27" si="0">+A15+1</f>
        <v>4</v>
      </c>
      <c r="B16" s="278" t="s">
        <v>313</v>
      </c>
      <c r="C16" s="227"/>
      <c r="D16" s="279"/>
      <c r="E16" s="274"/>
      <c r="F16" s="276">
        <v>0</v>
      </c>
      <c r="G16" s="265"/>
    </row>
    <row r="19" spans="1:6" ht="15.75">
      <c r="A19" s="272">
        <f>+A16+1</f>
        <v>5</v>
      </c>
      <c r="B19" s="64" t="s">
        <v>314</v>
      </c>
      <c r="C19" s="227" t="str">
        <f>"(Line "&amp;A15&amp;" + Line "&amp;A16&amp;")"</f>
        <v>(Line 3 + Line 4)</v>
      </c>
      <c r="D19" s="144"/>
      <c r="E19" s="274"/>
      <c r="F19" s="280">
        <f>+F15+F16</f>
        <v>0</v>
      </c>
    </row>
    <row r="20" spans="1:6" ht="15.75">
      <c r="A20" s="272"/>
      <c r="B20" s="64"/>
      <c r="C20" s="64"/>
      <c r="D20" s="274"/>
      <c r="E20" s="274"/>
      <c r="F20" s="277"/>
    </row>
    <row r="21" spans="1:6" ht="15.75">
      <c r="A21" s="272">
        <f>+A19+1</f>
        <v>6</v>
      </c>
      <c r="B21" s="64" t="s">
        <v>315</v>
      </c>
      <c r="C21" s="64" t="str">
        <f>"(Line "&amp;A13&amp;" + Line "&amp;A19&amp;")"</f>
        <v>(Line 2 + Line 5)</v>
      </c>
      <c r="D21" s="274"/>
      <c r="E21" s="274"/>
      <c r="F21" s="277">
        <f>+F13+F19</f>
        <v>0</v>
      </c>
    </row>
    <row r="22" spans="1:6" ht="15.75">
      <c r="A22" s="272"/>
      <c r="B22" s="64"/>
      <c r="C22" s="64"/>
      <c r="D22" s="274"/>
      <c r="E22" s="274"/>
      <c r="F22" s="277"/>
    </row>
    <row r="23" spans="1:6" ht="15.75">
      <c r="A23" s="272">
        <f>+A21+1</f>
        <v>7</v>
      </c>
      <c r="B23" s="64" t="s">
        <v>314</v>
      </c>
      <c r="C23" s="64" t="str">
        <f>"(Line "&amp;A19&amp;")"</f>
        <v>(Line 5)</v>
      </c>
      <c r="D23" s="274"/>
      <c r="E23" s="274"/>
      <c r="F23" s="277">
        <f>+F19</f>
        <v>0</v>
      </c>
    </row>
    <row r="24" spans="1:6" ht="15.75">
      <c r="A24" s="272"/>
      <c r="B24" s="64"/>
      <c r="C24" s="64"/>
      <c r="D24" s="64"/>
      <c r="E24" s="64"/>
      <c r="F24" s="64"/>
    </row>
    <row r="25" spans="1:6" ht="15.75">
      <c r="A25" s="272">
        <f>+A23+1</f>
        <v>8</v>
      </c>
      <c r="B25" s="64" t="s">
        <v>316</v>
      </c>
      <c r="C25" s="64" t="s">
        <v>317</v>
      </c>
      <c r="D25" s="64"/>
      <c r="E25" s="64"/>
      <c r="F25" s="281">
        <v>0</v>
      </c>
    </row>
    <row r="26" spans="1:6" ht="15.75">
      <c r="A26" s="272">
        <f t="shared" si="0"/>
        <v>9</v>
      </c>
      <c r="B26" s="64" t="s">
        <v>318</v>
      </c>
      <c r="C26" s="64" t="s">
        <v>319</v>
      </c>
      <c r="D26" s="64"/>
      <c r="E26" s="64"/>
      <c r="F26" s="238">
        <v>0</v>
      </c>
    </row>
    <row r="27" spans="1:6" ht="30.75">
      <c r="A27" s="272">
        <f t="shared" si="0"/>
        <v>10</v>
      </c>
      <c r="B27" s="64" t="s">
        <v>320</v>
      </c>
      <c r="C27" s="175" t="str">
        <f>"(Line "&amp;A23&amp;" * Line "&amp;A25&amp;" * Line "&amp;A26&amp;")"</f>
        <v>(Line 7 * Line 8 * Line 9)</v>
      </c>
      <c r="D27" s="64"/>
      <c r="E27" s="64"/>
      <c r="F27" s="280">
        <f>+F23*F25*F26</f>
        <v>0</v>
      </c>
    </row>
    <row r="28" spans="1:6" ht="15.75">
      <c r="A28" s="272"/>
      <c r="B28" s="64"/>
      <c r="C28" s="64"/>
      <c r="D28" s="64"/>
      <c r="E28" s="64"/>
      <c r="F28" s="171"/>
    </row>
    <row r="29" spans="1:6" ht="15.75">
      <c r="A29" s="272">
        <f>+A27+1</f>
        <v>11</v>
      </c>
      <c r="B29" s="64" t="s">
        <v>321</v>
      </c>
      <c r="C29" s="64" t="str">
        <f>"(Line "&amp;A23&amp;" + Line "&amp;A27&amp;")"</f>
        <v>(Line 7 + Line 10)</v>
      </c>
      <c r="D29" s="64"/>
      <c r="E29" s="64"/>
      <c r="F29" s="277">
        <f>+F23+F27</f>
        <v>0</v>
      </c>
    </row>
    <row r="30" spans="1:6" ht="15.75">
      <c r="A30" s="272"/>
      <c r="B30" s="64"/>
      <c r="C30" s="64"/>
      <c r="D30" s="64"/>
      <c r="E30" s="64"/>
      <c r="F30" s="64"/>
    </row>
    <row r="31" spans="1:6" ht="15.75">
      <c r="A31" s="64"/>
      <c r="B31" s="64"/>
      <c r="C31" s="64"/>
      <c r="D31" s="64"/>
      <c r="E31" s="64"/>
      <c r="F31" s="64"/>
    </row>
    <row r="32" spans="1:6" ht="15.75">
      <c r="A32" s="282" t="s">
        <v>322</v>
      </c>
      <c r="B32" s="64"/>
      <c r="C32" s="64"/>
      <c r="D32" s="64"/>
      <c r="E32" s="64"/>
      <c r="F32" s="64"/>
    </row>
    <row r="33" spans="1:6" ht="53.25" customHeight="1">
      <c r="A33" s="283" t="s">
        <v>35</v>
      </c>
      <c r="B33" s="703" t="s">
        <v>563</v>
      </c>
      <c r="C33" s="703"/>
      <c r="D33" s="703"/>
      <c r="E33" s="703"/>
      <c r="F33" s="703"/>
    </row>
    <row r="34" spans="1:6" ht="46.5" customHeight="1">
      <c r="A34" s="283" t="s">
        <v>36</v>
      </c>
      <c r="B34" s="703" t="s">
        <v>564</v>
      </c>
      <c r="C34" s="703"/>
      <c r="D34" s="703"/>
      <c r="E34" s="703"/>
      <c r="F34" s="703"/>
    </row>
    <row r="35" spans="1:6" ht="15.75">
      <c r="A35" s="313" t="s">
        <v>37</v>
      </c>
      <c r="B35" s="699" t="s">
        <v>641</v>
      </c>
      <c r="C35" s="699"/>
      <c r="D35" s="699"/>
      <c r="E35" s="699"/>
      <c r="F35" s="699"/>
    </row>
  </sheetData>
  <mergeCells count="6">
    <mergeCell ref="B35:F35"/>
    <mergeCell ref="A1:G1"/>
    <mergeCell ref="A2:G2"/>
    <mergeCell ref="A3:G3"/>
    <mergeCell ref="B33:F33"/>
    <mergeCell ref="B34:F34"/>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K207"/>
  <sheetViews>
    <sheetView zoomScale="96" zoomScaleNormal="96" zoomScaleSheetLayoutView="100" workbookViewId="0">
      <selection activeCell="B206" sqref="B206"/>
    </sheetView>
  </sheetViews>
  <sheetFormatPr defaultColWidth="9.140625" defaultRowHeight="15"/>
  <cols>
    <col min="1" max="1" width="5.7109375" style="360" customWidth="1"/>
    <col min="2" max="2" width="57.85546875" style="360" customWidth="1"/>
    <col min="3" max="3" width="35.5703125" style="360" customWidth="1"/>
    <col min="4" max="4" width="18.140625" style="360" customWidth="1"/>
    <col min="5" max="5" width="10.7109375" style="360" customWidth="1"/>
    <col min="6" max="6" width="16.85546875" style="360" customWidth="1"/>
    <col min="7" max="7" width="16.5703125" style="360" customWidth="1"/>
    <col min="8" max="8" width="4.85546875" style="360" customWidth="1"/>
    <col min="9" max="9" width="19.5703125" style="360" customWidth="1"/>
    <col min="10" max="10" width="8.42578125" style="360" customWidth="1"/>
    <col min="11" max="11" width="12.140625" style="360" customWidth="1"/>
    <col min="12" max="16384" width="9.140625" style="360"/>
  </cols>
  <sheetData>
    <row r="1" spans="1:11">
      <c r="K1" s="406"/>
    </row>
    <row r="3" spans="1:11">
      <c r="A3" s="407"/>
      <c r="B3" s="408" t="s">
        <v>0</v>
      </c>
      <c r="C3" s="408"/>
      <c r="D3" s="409" t="s">
        <v>63</v>
      </c>
      <c r="E3" s="408"/>
      <c r="F3" s="408"/>
      <c r="G3" s="408"/>
      <c r="H3" s="601" t="s">
        <v>612</v>
      </c>
      <c r="I3" s="601"/>
      <c r="J3" s="601"/>
      <c r="K3" s="601"/>
    </row>
    <row r="4" spans="1:11">
      <c r="A4" s="407"/>
      <c r="B4" s="408"/>
      <c r="C4" s="379" t="s">
        <v>2</v>
      </c>
      <c r="D4" s="379" t="s">
        <v>3</v>
      </c>
      <c r="E4" s="379"/>
      <c r="F4" s="379"/>
      <c r="G4" s="379"/>
      <c r="H4" s="408"/>
      <c r="I4" s="408"/>
      <c r="J4" s="408"/>
      <c r="K4" s="408"/>
    </row>
    <row r="5" spans="1:11">
      <c r="A5" s="407"/>
      <c r="B5" s="408"/>
      <c r="C5" s="408"/>
      <c r="D5" s="408"/>
      <c r="E5" s="408"/>
      <c r="F5" s="408"/>
      <c r="G5" s="408"/>
      <c r="H5" s="408"/>
      <c r="I5" s="408"/>
      <c r="J5" s="408"/>
      <c r="K5" s="408"/>
    </row>
    <row r="6" spans="1:11" ht="15.75">
      <c r="A6" s="640" t="s">
        <v>576</v>
      </c>
      <c r="B6" s="640"/>
      <c r="C6" s="640"/>
      <c r="D6" s="640"/>
      <c r="E6" s="640"/>
      <c r="F6" s="640"/>
      <c r="G6" s="640"/>
      <c r="H6" s="640"/>
      <c r="I6" s="640"/>
      <c r="J6" s="410"/>
      <c r="K6" s="410"/>
    </row>
    <row r="7" spans="1:11" ht="15.75">
      <c r="A7" s="639" t="s">
        <v>538</v>
      </c>
      <c r="B7" s="639"/>
      <c r="C7" s="639"/>
      <c r="D7" s="639"/>
      <c r="E7" s="639"/>
      <c r="F7" s="639"/>
      <c r="G7" s="639"/>
      <c r="H7" s="639"/>
      <c r="I7" s="639"/>
      <c r="J7" s="411"/>
      <c r="K7" s="411"/>
    </row>
    <row r="8" spans="1:11">
      <c r="A8" s="412"/>
      <c r="B8" s="408" t="s">
        <v>4</v>
      </c>
      <c r="C8" s="408"/>
      <c r="D8" s="413"/>
      <c r="E8" s="408"/>
      <c r="F8" s="408"/>
      <c r="G8" s="408"/>
      <c r="H8" s="408"/>
      <c r="I8" s="408"/>
      <c r="J8" s="408"/>
      <c r="K8" s="408"/>
    </row>
    <row r="9" spans="1:11">
      <c r="A9" s="412"/>
      <c r="B9" s="408" t="s">
        <v>5</v>
      </c>
      <c r="C9" s="408"/>
      <c r="D9" s="414"/>
      <c r="E9" s="408"/>
      <c r="F9" s="408"/>
      <c r="G9" s="408"/>
      <c r="H9" s="408"/>
      <c r="I9" s="408"/>
      <c r="J9" s="408"/>
      <c r="K9" s="408"/>
    </row>
    <row r="10" spans="1:11">
      <c r="A10" s="407"/>
      <c r="B10" s="412" t="s">
        <v>10</v>
      </c>
      <c r="C10" s="412" t="s">
        <v>11</v>
      </c>
      <c r="D10" s="412" t="s">
        <v>12</v>
      </c>
      <c r="E10" s="379" t="s">
        <v>2</v>
      </c>
      <c r="F10" s="379"/>
      <c r="G10" s="415" t="s">
        <v>13</v>
      </c>
      <c r="H10" s="379"/>
      <c r="I10" s="413" t="s">
        <v>14</v>
      </c>
      <c r="J10" s="379"/>
      <c r="K10" s="412"/>
    </row>
    <row r="11" spans="1:11" ht="15.75">
      <c r="A11" s="412" t="s">
        <v>6</v>
      </c>
      <c r="B11" s="408"/>
      <c r="C11" s="416"/>
      <c r="E11" s="417"/>
      <c r="F11" s="418"/>
      <c r="G11" s="407"/>
      <c r="H11" s="417"/>
      <c r="J11" s="379"/>
      <c r="K11" s="412"/>
    </row>
    <row r="12" spans="1:11" ht="48" thickBot="1">
      <c r="A12" s="419" t="s">
        <v>7</v>
      </c>
      <c r="B12" s="420" t="s">
        <v>495</v>
      </c>
      <c r="C12" s="421" t="str">
        <f>+C66</f>
        <v>Form No. 1 or Transmission Formula Rate Reference</v>
      </c>
      <c r="D12" s="422" t="s">
        <v>228</v>
      </c>
      <c r="E12" s="379"/>
      <c r="F12" s="638" t="s">
        <v>166</v>
      </c>
      <c r="G12" s="638"/>
      <c r="H12" s="379"/>
      <c r="I12" s="422" t="s">
        <v>490</v>
      </c>
      <c r="J12" s="379"/>
      <c r="K12" s="379"/>
    </row>
    <row r="13" spans="1:11">
      <c r="A13" s="412"/>
      <c r="B13" s="408" t="s">
        <v>16</v>
      </c>
      <c r="C13" s="379"/>
      <c r="D13" s="379"/>
      <c r="E13" s="379"/>
      <c r="F13" s="379"/>
      <c r="G13" s="379"/>
      <c r="H13" s="379"/>
      <c r="I13" s="379"/>
      <c r="J13" s="379"/>
      <c r="K13" s="379"/>
    </row>
    <row r="14" spans="1:11">
      <c r="A14" s="412">
        <v>1</v>
      </c>
      <c r="B14" s="408" t="s">
        <v>17</v>
      </c>
      <c r="C14" s="423" t="str">
        <f>"Workpaper 1, Line "&amp;'1-RB Items'!$A$25&amp;", Col. "&amp;'1-RB Items'!D7&amp;""</f>
        <v>Workpaper 1, Line 14, Col. (c)</v>
      </c>
      <c r="D14" s="424">
        <f>+'1-RB Items'!D25</f>
        <v>0</v>
      </c>
      <c r="E14" s="379"/>
      <c r="F14" s="379" t="s">
        <v>18</v>
      </c>
      <c r="G14" s="425" t="s">
        <v>2</v>
      </c>
      <c r="H14" s="379"/>
      <c r="I14" s="379">
        <v>0</v>
      </c>
      <c r="J14" s="379"/>
      <c r="K14" s="379"/>
    </row>
    <row r="15" spans="1:11" ht="28.5">
      <c r="A15" s="412">
        <f>+A14+1</f>
        <v>2</v>
      </c>
      <c r="B15" s="408" t="s">
        <v>29</v>
      </c>
      <c r="C15" s="426" t="str">
        <f>"Workpaper 1, Line "&amp;'1-RB Items'!$A$25&amp;", Col. "&amp;'1-RB Items'!E7&amp;" or Col. "&amp;'1-RB Items'!N7&amp;" "</f>
        <v xml:space="preserve">Workpaper 1, Line 14, Col. (d) or Col. (m) </v>
      </c>
      <c r="D15" s="424">
        <f>+'1-RB Items'!E25</f>
        <v>0</v>
      </c>
      <c r="E15" s="379"/>
      <c r="F15" s="379" t="s">
        <v>81</v>
      </c>
      <c r="G15" s="427"/>
      <c r="H15" s="428"/>
      <c r="I15" s="429">
        <f>+'1-RB Items'!N25</f>
        <v>0</v>
      </c>
      <c r="J15" s="379"/>
      <c r="K15" s="538"/>
    </row>
    <row r="16" spans="1:11">
      <c r="A16" s="412">
        <f>+A15+1</f>
        <v>3</v>
      </c>
      <c r="B16" s="408" t="s">
        <v>19</v>
      </c>
      <c r="C16" s="423" t="str">
        <f>"Workpaper 1, Line "&amp;'1-RB Items'!$A$25&amp;", Col. "&amp;'1-RB Items'!F7&amp;""</f>
        <v>Workpaper 1, Line 14, Col. (e)</v>
      </c>
      <c r="D16" s="424">
        <f>+'1-RB Items'!F25</f>
        <v>0</v>
      </c>
      <c r="E16" s="379"/>
      <c r="F16" s="379" t="s">
        <v>18</v>
      </c>
      <c r="G16" s="430" t="s">
        <v>2</v>
      </c>
      <c r="H16" s="428"/>
      <c r="I16" s="428">
        <v>0</v>
      </c>
      <c r="J16" s="379"/>
      <c r="K16" s="379"/>
    </row>
    <row r="17" spans="1:11">
      <c r="A17" s="412">
        <f>+A16+1</f>
        <v>4</v>
      </c>
      <c r="B17" s="408" t="s">
        <v>99</v>
      </c>
      <c r="C17" s="423" t="str">
        <f>"Workpaper 1, Line "&amp;'1-RB Items'!$A$25&amp;", Col. "&amp;'1-RB Items'!G7&amp;""</f>
        <v>Workpaper 1, Line 14, Col. (f)</v>
      </c>
      <c r="D17" s="424">
        <f>+'1-RB Items'!G25</f>
        <v>0</v>
      </c>
      <c r="E17" s="379"/>
      <c r="F17" s="379" t="s">
        <v>431</v>
      </c>
      <c r="G17" s="431" t="e">
        <f>+D156</f>
        <v>#DIV/0!</v>
      </c>
      <c r="H17" s="428"/>
      <c r="I17" s="429" t="e">
        <f>+G17*D17</f>
        <v>#DIV/0!</v>
      </c>
      <c r="J17" s="379"/>
      <c r="K17" s="379"/>
    </row>
    <row r="18" spans="1:11">
      <c r="A18" s="412">
        <f t="shared" ref="A18:A21" si="0">+A17+1</f>
        <v>5</v>
      </c>
      <c r="B18" s="408" t="s">
        <v>100</v>
      </c>
      <c r="C18" s="423" t="str">
        <f>"Workpaper 1, Line "&amp;'1-RB Items'!$A$25&amp;", Col. "&amp;'1-RB Items'!C7&amp;""</f>
        <v>Workpaper 1, Line 14, Col. (b)</v>
      </c>
      <c r="D18" s="424">
        <f>+'1-RB Items'!C25</f>
        <v>0</v>
      </c>
      <c r="E18" s="379"/>
      <c r="F18" s="379" t="str">
        <f>+F17</f>
        <v>S19 W/S</v>
      </c>
      <c r="G18" s="431" t="e">
        <f>+D156</f>
        <v>#DIV/0!</v>
      </c>
      <c r="H18" s="428"/>
      <c r="I18" s="429" t="e">
        <f>+G18*D18</f>
        <v>#DIV/0!</v>
      </c>
      <c r="J18" s="379"/>
      <c r="K18" s="379"/>
    </row>
    <row r="19" spans="1:11" ht="15.75" thickBot="1">
      <c r="A19" s="412">
        <f t="shared" si="0"/>
        <v>6</v>
      </c>
      <c r="B19" s="408" t="s">
        <v>20</v>
      </c>
      <c r="C19" s="423" t="str">
        <f>"Workpaper 1, Line "&amp;'1-RB Items'!$A$25&amp;", Col. "&amp;'1-RB Items'!H7&amp;""</f>
        <v>Workpaper 1, Line 14, Col. (g)</v>
      </c>
      <c r="D19" s="432">
        <f>+'1-RB Items'!H25</f>
        <v>0</v>
      </c>
      <c r="E19" s="379"/>
      <c r="F19" s="379" t="s">
        <v>432</v>
      </c>
      <c r="G19" s="431" t="e">
        <f>+G161*D156</f>
        <v>#DIV/0!</v>
      </c>
      <c r="H19" s="428"/>
      <c r="I19" s="433" t="e">
        <f>+D19*G19</f>
        <v>#DIV/0!</v>
      </c>
      <c r="J19" s="379"/>
      <c r="K19" s="379"/>
    </row>
    <row r="20" spans="1:11">
      <c r="A20" s="412">
        <f t="shared" si="0"/>
        <v>7</v>
      </c>
      <c r="B20" s="408" t="s">
        <v>94</v>
      </c>
      <c r="C20" s="434" t="str">
        <f>"(Sum of Lines "&amp;A14&amp;" through "&amp;A19&amp;")"</f>
        <v>(Sum of Lines 1 through 6)</v>
      </c>
      <c r="D20" s="435">
        <f>SUM(D14:D19)</f>
        <v>0</v>
      </c>
      <c r="E20" s="379"/>
      <c r="F20" s="374" t="s">
        <v>21</v>
      </c>
      <c r="G20" s="436" t="e">
        <f>IF(I20&gt;0,I20/D20,0)</f>
        <v>#DIV/0!</v>
      </c>
      <c r="H20" s="428"/>
      <c r="I20" s="429" t="e">
        <f>SUM(I14:I19)</f>
        <v>#DIV/0!</v>
      </c>
      <c r="J20" s="379"/>
      <c r="K20" s="437"/>
    </row>
    <row r="21" spans="1:11" ht="15.75" thickBot="1">
      <c r="A21" s="412">
        <f t="shared" si="0"/>
        <v>8</v>
      </c>
      <c r="B21" s="408" t="s">
        <v>464</v>
      </c>
      <c r="C21" s="438"/>
      <c r="D21" s="435">
        <f>+D20-D19</f>
        <v>0</v>
      </c>
      <c r="E21" s="379"/>
      <c r="F21" s="382" t="s">
        <v>352</v>
      </c>
      <c r="G21" s="439" t="e">
        <f>+I21/D21</f>
        <v>#DIV/0!</v>
      </c>
      <c r="H21" s="379"/>
      <c r="I21" s="435" t="e">
        <f>+I20-I19</f>
        <v>#DIV/0!</v>
      </c>
      <c r="J21" s="379"/>
      <c r="K21" s="437"/>
    </row>
    <row r="22" spans="1:11">
      <c r="A22" s="407"/>
      <c r="B22" s="408"/>
      <c r="C22" s="438"/>
      <c r="D22" s="379"/>
      <c r="E22" s="379"/>
      <c r="F22" s="379"/>
      <c r="G22" s="437"/>
      <c r="H22" s="379"/>
      <c r="I22" s="379"/>
      <c r="J22" s="379"/>
      <c r="K22" s="437"/>
    </row>
    <row r="23" spans="1:11">
      <c r="A23" s="407"/>
      <c r="B23" s="408" t="s">
        <v>22</v>
      </c>
      <c r="C23" s="438"/>
      <c r="D23" s="379"/>
      <c r="E23" s="379"/>
      <c r="F23" s="379"/>
      <c r="G23" s="379"/>
      <c r="H23" s="379"/>
      <c r="I23" s="379"/>
      <c r="J23" s="379"/>
      <c r="K23" s="379"/>
    </row>
    <row r="24" spans="1:11">
      <c r="A24" s="412">
        <f>+A21+1</f>
        <v>9</v>
      </c>
      <c r="B24" s="408" t="s">
        <v>17</v>
      </c>
      <c r="C24" s="423" t="str">
        <f>"Workpaper 1, Line "&amp;'1-RB Items'!$A$46&amp;", Col. "&amp;'1-RB Items'!D7&amp;""</f>
        <v>Workpaper 1, Line 28, Col. (c)</v>
      </c>
      <c r="D24" s="440">
        <f>+'1-RB Items'!D46</f>
        <v>0</v>
      </c>
      <c r="E24" s="379"/>
      <c r="F24" s="379" t="s">
        <v>18</v>
      </c>
      <c r="G24" s="425" t="s">
        <v>2</v>
      </c>
      <c r="H24" s="379"/>
      <c r="I24" s="441">
        <v>0</v>
      </c>
      <c r="J24" s="379"/>
      <c r="K24" s="379"/>
    </row>
    <row r="25" spans="1:11" ht="28.5">
      <c r="A25" s="412">
        <f>+A24+1</f>
        <v>10</v>
      </c>
      <c r="B25" s="408" t="str">
        <f>+B15</f>
        <v xml:space="preserve">  Transmission</v>
      </c>
      <c r="C25" s="426" t="str">
        <f>"Workpaper 1, Line "&amp;'1-RB Items'!$A$46&amp;", Col. "&amp;'1-RB Items'!E7&amp;" or Col. "&amp;'1-RB Items'!N7&amp;""</f>
        <v>Workpaper 1, Line 28, Col. (d) or Col. (m)</v>
      </c>
      <c r="D25" s="440">
        <f>+'1-RB Items'!E46</f>
        <v>0</v>
      </c>
      <c r="E25" s="379"/>
      <c r="F25" s="379" t="s">
        <v>81</v>
      </c>
      <c r="G25" s="427"/>
      <c r="H25" s="428"/>
      <c r="I25" s="442">
        <f>+'1-RB Items'!N46</f>
        <v>0</v>
      </c>
      <c r="J25" s="379"/>
      <c r="K25" s="379"/>
    </row>
    <row r="26" spans="1:11">
      <c r="A26" s="412">
        <f t="shared" ref="A26:A30" si="1">+A25+1</f>
        <v>11</v>
      </c>
      <c r="B26" s="408" t="s">
        <v>19</v>
      </c>
      <c r="C26" s="423" t="str">
        <f>"Workpaper 1, Line "&amp;'1-RB Items'!$A$46&amp;", Col. "&amp;'1-RB Items'!F7&amp;""</f>
        <v>Workpaper 1, Line 28, Col. (e)</v>
      </c>
      <c r="D26" s="440">
        <f>+'1-RB Items'!F46</f>
        <v>0</v>
      </c>
      <c r="E26" s="379"/>
      <c r="F26" s="379" t="s">
        <v>18</v>
      </c>
      <c r="G26" s="427" t="str">
        <f>+G16</f>
        <v xml:space="preserve"> </v>
      </c>
      <c r="H26" s="428"/>
      <c r="I26" s="441">
        <v>0</v>
      </c>
      <c r="J26" s="379"/>
      <c r="K26" s="379"/>
    </row>
    <row r="27" spans="1:11">
      <c r="A27" s="412">
        <f t="shared" si="1"/>
        <v>12</v>
      </c>
      <c r="B27" s="408" t="str">
        <f>+B17</f>
        <v xml:space="preserve">  Electric General</v>
      </c>
      <c r="C27" s="423" t="str">
        <f>"Workpaper 1, Line "&amp;'1-RB Items'!$A$46&amp;", Col. "&amp;'1-RB Items'!G7&amp;""</f>
        <v>Workpaper 1, Line 28, Col. (f)</v>
      </c>
      <c r="D27" s="440">
        <f>+'1-RB Items'!G46</f>
        <v>0</v>
      </c>
      <c r="E27" s="379"/>
      <c r="F27" s="379" t="str">
        <f>+F17</f>
        <v>S19 W/S</v>
      </c>
      <c r="G27" s="431" t="e">
        <f>+G17</f>
        <v>#DIV/0!</v>
      </c>
      <c r="H27" s="428"/>
      <c r="I27" s="442" t="e">
        <f>+G27*D27</f>
        <v>#DIV/0!</v>
      </c>
      <c r="J27" s="379"/>
      <c r="K27" s="379"/>
    </row>
    <row r="28" spans="1:11">
      <c r="A28" s="412">
        <f t="shared" si="1"/>
        <v>13</v>
      </c>
      <c r="B28" s="408" t="str">
        <f>+B18</f>
        <v xml:space="preserve">  Electric Intangible</v>
      </c>
      <c r="C28" s="423" t="str">
        <f>"Workpaper 1, Line "&amp;'1-RB Items'!$A$46&amp;", Col. "&amp;'1-RB Items'!C7&amp;""</f>
        <v>Workpaper 1, Line 28, Col. (b)</v>
      </c>
      <c r="D28" s="440">
        <f>+'1-RB Items'!C46</f>
        <v>0</v>
      </c>
      <c r="E28" s="379"/>
      <c r="F28" s="379" t="str">
        <f>+F27</f>
        <v>S19 W/S</v>
      </c>
      <c r="G28" s="431" t="e">
        <f>+G18</f>
        <v>#DIV/0!</v>
      </c>
      <c r="H28" s="428"/>
      <c r="I28" s="442" t="e">
        <f>+G28*D28</f>
        <v>#DIV/0!</v>
      </c>
      <c r="J28" s="379"/>
      <c r="K28" s="379"/>
    </row>
    <row r="29" spans="1:11" ht="15.75" thickBot="1">
      <c r="A29" s="412">
        <f t="shared" si="1"/>
        <v>14</v>
      </c>
      <c r="B29" s="408" t="s">
        <v>20</v>
      </c>
      <c r="C29" s="423" t="str">
        <f>"Workpaper 1, Line "&amp;'1-RB Items'!$A$46&amp;", Col. "&amp;'1-RB Items'!H7&amp;""</f>
        <v>Workpaper 1, Line 28, Col. (g)</v>
      </c>
      <c r="D29" s="443">
        <f>+'1-RB Items'!H46</f>
        <v>0</v>
      </c>
      <c r="E29" s="379"/>
      <c r="F29" s="379" t="str">
        <f>+F19</f>
        <v>CP*S19 W/S</v>
      </c>
      <c r="G29" s="431" t="e">
        <f>+G19</f>
        <v>#DIV/0!</v>
      </c>
      <c r="H29" s="428"/>
      <c r="I29" s="444" t="e">
        <f>+G29*D29</f>
        <v>#DIV/0!</v>
      </c>
      <c r="J29" s="379"/>
      <c r="K29" s="379"/>
    </row>
    <row r="30" spans="1:11">
      <c r="A30" s="412">
        <f t="shared" si="1"/>
        <v>15</v>
      </c>
      <c r="B30" s="408" t="s">
        <v>95</v>
      </c>
      <c r="C30" s="434" t="str">
        <f>"(Sum of Lines "&amp;A24&amp;" through "&amp;A29&amp;")"</f>
        <v>(Sum of Lines 9 through 14)</v>
      </c>
      <c r="D30" s="442">
        <f>SUM(D24:D29)</f>
        <v>0</v>
      </c>
      <c r="E30" s="379"/>
      <c r="F30" s="379"/>
      <c r="G30" s="428"/>
      <c r="H30" s="428"/>
      <c r="I30" s="442" t="e">
        <f>SUM(I24:I29)</f>
        <v>#DIV/0!</v>
      </c>
      <c r="J30" s="379"/>
      <c r="K30" s="379"/>
    </row>
    <row r="31" spans="1:11">
      <c r="A31" s="412"/>
      <c r="B31" s="407"/>
      <c r="C31" s="379" t="s">
        <v>2</v>
      </c>
      <c r="D31" s="407"/>
      <c r="E31" s="379"/>
      <c r="F31" s="379"/>
      <c r="G31" s="437"/>
      <c r="H31" s="379"/>
      <c r="I31" s="407"/>
      <c r="J31" s="379"/>
      <c r="K31" s="437"/>
    </row>
    <row r="32" spans="1:11">
      <c r="A32" s="412"/>
      <c r="B32" s="408" t="s">
        <v>23</v>
      </c>
      <c r="C32" s="379"/>
      <c r="D32" s="379"/>
      <c r="E32" s="379"/>
      <c r="F32" s="379"/>
      <c r="G32" s="379"/>
      <c r="H32" s="379"/>
      <c r="I32" s="379"/>
      <c r="J32" s="379"/>
      <c r="K32" s="379"/>
    </row>
    <row r="33" spans="1:11">
      <c r="A33" s="412">
        <f>+A30+1</f>
        <v>16</v>
      </c>
      <c r="B33" s="408" t="s">
        <v>17</v>
      </c>
      <c r="C33" s="434" t="str">
        <f t="shared" ref="C33:C38" si="2">"(Line "&amp;A14&amp;" + Line "&amp;A24&amp;")"</f>
        <v>(Line 1 + Line 9)</v>
      </c>
      <c r="D33" s="429">
        <f t="shared" ref="D33:D38" si="3">+D14+D24</f>
        <v>0</v>
      </c>
      <c r="E33" s="428"/>
      <c r="F33" s="428"/>
      <c r="G33" s="445"/>
      <c r="H33" s="428"/>
      <c r="I33" s="429">
        <f t="shared" ref="I33:I38" si="4">+I14+I24</f>
        <v>0</v>
      </c>
      <c r="J33" s="379"/>
      <c r="K33" s="437"/>
    </row>
    <row r="34" spans="1:11">
      <c r="A34" s="412">
        <f>+A33+1</f>
        <v>17</v>
      </c>
      <c r="B34" s="408" t="s">
        <v>29</v>
      </c>
      <c r="C34" s="434" t="str">
        <f t="shared" si="2"/>
        <v>(Line 2 + Line 10)</v>
      </c>
      <c r="D34" s="429">
        <f t="shared" si="3"/>
        <v>0</v>
      </c>
      <c r="E34" s="428"/>
      <c r="F34" s="428"/>
      <c r="G34" s="430"/>
      <c r="H34" s="428"/>
      <c r="I34" s="429">
        <f t="shared" si="4"/>
        <v>0</v>
      </c>
      <c r="J34" s="379"/>
      <c r="K34" s="437"/>
    </row>
    <row r="35" spans="1:11">
      <c r="A35" s="412">
        <f t="shared" ref="A35:A39" si="5">+A34+1</f>
        <v>18</v>
      </c>
      <c r="B35" s="408" t="s">
        <v>19</v>
      </c>
      <c r="C35" s="434" t="str">
        <f t="shared" si="2"/>
        <v>(Line 3 + Line 11)</v>
      </c>
      <c r="D35" s="429">
        <f t="shared" si="3"/>
        <v>0</v>
      </c>
      <c r="E35" s="428"/>
      <c r="F35" s="428"/>
      <c r="G35" s="445"/>
      <c r="H35" s="428"/>
      <c r="I35" s="429">
        <f t="shared" si="4"/>
        <v>0</v>
      </c>
      <c r="J35" s="379"/>
      <c r="K35" s="437"/>
    </row>
    <row r="36" spans="1:11">
      <c r="A36" s="412">
        <f t="shared" si="5"/>
        <v>19</v>
      </c>
      <c r="B36" s="408" t="s">
        <v>24</v>
      </c>
      <c r="C36" s="434" t="str">
        <f t="shared" si="2"/>
        <v>(Line 4 + Line 12)</v>
      </c>
      <c r="D36" s="429">
        <f t="shared" si="3"/>
        <v>0</v>
      </c>
      <c r="E36" s="428"/>
      <c r="F36" s="428"/>
      <c r="G36" s="445"/>
      <c r="H36" s="428"/>
      <c r="I36" s="429" t="e">
        <f t="shared" si="4"/>
        <v>#DIV/0!</v>
      </c>
      <c r="J36" s="379"/>
      <c r="K36" s="437"/>
    </row>
    <row r="37" spans="1:11">
      <c r="A37" s="412">
        <f t="shared" si="5"/>
        <v>20</v>
      </c>
      <c r="B37" s="408" t="s">
        <v>79</v>
      </c>
      <c r="C37" s="434" t="str">
        <f t="shared" si="2"/>
        <v>(Line 5 + Line 13)</v>
      </c>
      <c r="D37" s="429">
        <f t="shared" si="3"/>
        <v>0</v>
      </c>
      <c r="E37" s="428"/>
      <c r="F37" s="428"/>
      <c r="G37" s="445"/>
      <c r="H37" s="428"/>
      <c r="I37" s="429" t="e">
        <f t="shared" si="4"/>
        <v>#DIV/0!</v>
      </c>
      <c r="J37" s="379"/>
      <c r="K37" s="437"/>
    </row>
    <row r="38" spans="1:11" ht="15.75" thickBot="1">
      <c r="A38" s="412">
        <f t="shared" si="5"/>
        <v>21</v>
      </c>
      <c r="B38" s="408" t="s">
        <v>20</v>
      </c>
      <c r="C38" s="434" t="str">
        <f t="shared" si="2"/>
        <v>(Line 6 + Line 14)</v>
      </c>
      <c r="D38" s="433">
        <f t="shared" si="3"/>
        <v>0</v>
      </c>
      <c r="E38" s="428"/>
      <c r="F38" s="428"/>
      <c r="G38" s="445"/>
      <c r="H38" s="428"/>
      <c r="I38" s="433" t="e">
        <f t="shared" si="4"/>
        <v>#DIV/0!</v>
      </c>
      <c r="J38" s="379"/>
      <c r="K38" s="437"/>
    </row>
    <row r="39" spans="1:11">
      <c r="A39" s="412">
        <f t="shared" si="5"/>
        <v>22</v>
      </c>
      <c r="B39" s="408" t="s">
        <v>96</v>
      </c>
      <c r="C39" s="434" t="str">
        <f>"(Sum of Lines "&amp;A33&amp;" through "&amp;A38&amp;")"</f>
        <v>(Sum of Lines 16 through 21)</v>
      </c>
      <c r="D39" s="429">
        <f>SUM(D33:D38)</f>
        <v>0</v>
      </c>
      <c r="E39" s="428"/>
      <c r="F39" s="428"/>
      <c r="G39" s="446"/>
      <c r="H39" s="428"/>
      <c r="I39" s="429" t="e">
        <f>SUM(I33:I38)</f>
        <v>#DIV/0!</v>
      </c>
      <c r="J39" s="379"/>
      <c r="K39" s="379"/>
    </row>
    <row r="40" spans="1:11">
      <c r="A40" s="412"/>
      <c r="B40" s="407"/>
      <c r="C40" s="379"/>
      <c r="D40" s="407"/>
      <c r="E40" s="379"/>
      <c r="F40" s="407"/>
      <c r="G40" s="407"/>
      <c r="H40" s="379"/>
      <c r="I40" s="407"/>
      <c r="J40" s="379"/>
      <c r="K40" s="437"/>
    </row>
    <row r="41" spans="1:11" ht="30">
      <c r="A41" s="412"/>
      <c r="B41" s="449" t="s">
        <v>628</v>
      </c>
      <c r="C41" s="379"/>
      <c r="D41" s="357"/>
      <c r="E41" s="379"/>
      <c r="F41" s="379"/>
      <c r="G41" s="379"/>
      <c r="H41" s="379"/>
      <c r="I41" s="379"/>
      <c r="J41" s="379"/>
      <c r="K41" s="379"/>
    </row>
    <row r="42" spans="1:11">
      <c r="A42" s="412">
        <f>+A39+1</f>
        <v>23</v>
      </c>
      <c r="B42" s="408" t="s">
        <v>209</v>
      </c>
      <c r="C42" s="357" t="str">
        <f>"Workpaper 2a, Line "&amp;'2a-ADIT Current Year'!A20&amp;", Col. "&amp;'2a-ADIT Current Year'!H6&amp;""</f>
        <v>Workpaper 2a, Line 11, Col. (g)</v>
      </c>
      <c r="D42" s="450" t="s">
        <v>18</v>
      </c>
      <c r="E42" s="379"/>
      <c r="F42" s="379"/>
      <c r="G42" s="451"/>
      <c r="H42" s="428"/>
      <c r="I42" s="447" t="e">
        <f>+'2a-ADIT Current Year'!H20</f>
        <v>#DIV/0!</v>
      </c>
      <c r="J42" s="379"/>
      <c r="K42" s="437"/>
    </row>
    <row r="43" spans="1:11">
      <c r="A43" s="412">
        <f>+A42+1</f>
        <v>24</v>
      </c>
      <c r="B43" s="449" t="s">
        <v>210</v>
      </c>
      <c r="C43" s="453" t="s">
        <v>419</v>
      </c>
      <c r="D43" s="450" t="s">
        <v>18</v>
      </c>
      <c r="E43" s="379"/>
      <c r="F43" s="379"/>
      <c r="G43" s="454"/>
      <c r="H43" s="428"/>
      <c r="I43" s="455">
        <f>+'3-EADIT'!L36+'3-EADIT'!L63</f>
        <v>0</v>
      </c>
      <c r="J43" s="379"/>
      <c r="K43" s="437"/>
    </row>
    <row r="44" spans="1:11" ht="30">
      <c r="A44" s="412">
        <f>+A43+1</f>
        <v>25</v>
      </c>
      <c r="B44" s="449" t="s">
        <v>382</v>
      </c>
      <c r="C44" s="434" t="str">
        <f>"(Line "&amp;A42&amp;" + Line "&amp;A43&amp;")"</f>
        <v>(Line 23 + Line 24)</v>
      </c>
      <c r="D44" s="456"/>
      <c r="E44" s="379"/>
      <c r="F44" s="379"/>
      <c r="G44" s="428"/>
      <c r="H44" s="428"/>
      <c r="I44" s="442" t="e">
        <f>SUM(I42:I43)</f>
        <v>#DIV/0!</v>
      </c>
      <c r="J44" s="379"/>
      <c r="K44" s="379"/>
    </row>
    <row r="45" spans="1:11">
      <c r="A45" s="412"/>
      <c r="B45" s="407"/>
      <c r="C45" s="379"/>
      <c r="D45" s="407"/>
      <c r="E45" s="379"/>
      <c r="F45" s="379"/>
      <c r="G45" s="437"/>
      <c r="H45" s="379"/>
      <c r="I45" s="407"/>
      <c r="J45" s="379"/>
      <c r="K45" s="437"/>
    </row>
    <row r="46" spans="1:11">
      <c r="A46" s="412">
        <f>+A44+1</f>
        <v>26</v>
      </c>
      <c r="B46" s="449" t="s">
        <v>341</v>
      </c>
      <c r="C46" s="423" t="str">
        <f>"Workpaper 1, Line "&amp;'1-RB Items'!A67&amp;", Col. "&amp;'1-RB Items'!C7&amp;" or "&amp;'1-RB Items'!D7&amp;""</f>
        <v>Workpaper 1, Line 42, Col. (b) or (c)</v>
      </c>
      <c r="D46" s="424">
        <f>ROUND('1-RB Items'!C67,0)</f>
        <v>0</v>
      </c>
      <c r="E46" s="379"/>
      <c r="F46" s="379" t="s">
        <v>81</v>
      </c>
      <c r="G46" s="427"/>
      <c r="H46" s="428"/>
      <c r="I46" s="457">
        <f>+'1-RB Items'!D67</f>
        <v>0</v>
      </c>
      <c r="J46" s="379"/>
      <c r="K46" s="379"/>
    </row>
    <row r="47" spans="1:11">
      <c r="A47" s="412"/>
      <c r="B47" s="408"/>
      <c r="C47" s="379"/>
      <c r="D47" s="379"/>
      <c r="E47" s="379"/>
      <c r="F47" s="379"/>
      <c r="G47" s="428"/>
      <c r="H47" s="428"/>
      <c r="I47" s="428"/>
      <c r="J47" s="379"/>
      <c r="K47" s="379"/>
    </row>
    <row r="48" spans="1:11">
      <c r="A48" s="412"/>
      <c r="B48" s="408" t="s">
        <v>379</v>
      </c>
      <c r="C48" s="379" t="s">
        <v>2</v>
      </c>
      <c r="D48" s="379"/>
      <c r="E48" s="379"/>
      <c r="F48" s="379"/>
      <c r="G48" s="428"/>
      <c r="H48" s="428"/>
      <c r="I48" s="428"/>
      <c r="J48" s="379"/>
      <c r="K48" s="379"/>
    </row>
    <row r="49" spans="1:11">
      <c r="A49" s="412">
        <f>+A46+1</f>
        <v>27</v>
      </c>
      <c r="B49" s="408" t="s">
        <v>381</v>
      </c>
      <c r="C49" s="434" t="str">
        <f>"(Line "&amp;A81&amp;" times 45/360)"</f>
        <v>(Line 47 times 45/360)</v>
      </c>
      <c r="D49" s="597" t="s">
        <v>18</v>
      </c>
      <c r="E49" s="379"/>
      <c r="F49" s="379"/>
      <c r="G49" s="430"/>
      <c r="H49" s="428"/>
      <c r="I49" s="429" t="e">
        <f>+I81/8</f>
        <v>#DIV/0!</v>
      </c>
      <c r="J49" s="408"/>
      <c r="K49" s="437"/>
    </row>
    <row r="50" spans="1:11">
      <c r="A50" s="412">
        <f>+A49+1</f>
        <v>28</v>
      </c>
      <c r="B50" s="408" t="s">
        <v>85</v>
      </c>
      <c r="C50" s="423" t="str">
        <f>"Workpaper 1, Line "&amp;'1-RB Items'!$A$67&amp;", Col. "&amp;'1-RB Items'!E7&amp;""</f>
        <v>Workpaper 1, Line 42, Col. (d)</v>
      </c>
      <c r="D50" s="424">
        <f>+'1-RB Items'!E67</f>
        <v>0</v>
      </c>
      <c r="E50" s="379"/>
      <c r="F50" s="379" t="s">
        <v>433</v>
      </c>
      <c r="G50" s="431" t="e">
        <f>+D144</f>
        <v>#DIV/0!</v>
      </c>
      <c r="H50" s="428"/>
      <c r="I50" s="429" t="e">
        <f>+G50*D50</f>
        <v>#DIV/0!</v>
      </c>
      <c r="J50" s="379" t="s">
        <v>2</v>
      </c>
      <c r="K50" s="437"/>
    </row>
    <row r="51" spans="1:11">
      <c r="A51" s="412">
        <f t="shared" ref="A51:A54" si="6">+A50+1</f>
        <v>29</v>
      </c>
      <c r="B51" s="449" t="s">
        <v>86</v>
      </c>
      <c r="C51" s="423" t="str">
        <f>"Workpaper 1, Line "&amp;'1-RB Items'!$A$67&amp;", Col. "&amp;'1-RB Items'!F7&amp;""</f>
        <v>Workpaper 1, Line 42, Col. (e)</v>
      </c>
      <c r="D51" s="424">
        <f>+'1-RB Items'!F67</f>
        <v>0</v>
      </c>
      <c r="E51" s="379"/>
      <c r="F51" s="379" t="s">
        <v>353</v>
      </c>
      <c r="G51" s="431" t="e">
        <f>+G161*G21</f>
        <v>#DIV/0!</v>
      </c>
      <c r="H51" s="428"/>
      <c r="I51" s="429" t="e">
        <f>+D51*G51</f>
        <v>#DIV/0!</v>
      </c>
      <c r="J51" s="379"/>
      <c r="K51" s="437"/>
    </row>
    <row r="52" spans="1:11">
      <c r="A52" s="412">
        <f t="shared" si="6"/>
        <v>30</v>
      </c>
      <c r="B52" s="408" t="s">
        <v>87</v>
      </c>
      <c r="C52" s="423" t="str">
        <f>"Workpaper 1, Line "&amp;'1-RB Items'!$A$67&amp;", Col. "&amp;'1-RB Items'!G7&amp;""</f>
        <v>Workpaper 1, Line 42, Col. (f)</v>
      </c>
      <c r="D52" s="424">
        <f>+'1-RB Items'!G67</f>
        <v>0</v>
      </c>
      <c r="E52" s="379"/>
      <c r="F52" s="379" t="s">
        <v>353</v>
      </c>
      <c r="G52" s="458" t="e">
        <f>+G161*G21</f>
        <v>#DIV/0!</v>
      </c>
      <c r="H52" s="428"/>
      <c r="I52" s="429" t="e">
        <f>+G52*D52</f>
        <v>#DIV/0!</v>
      </c>
      <c r="J52" s="379"/>
      <c r="K52" s="437"/>
    </row>
    <row r="53" spans="1:11" ht="15.75" thickBot="1">
      <c r="A53" s="412">
        <f>+A52+1</f>
        <v>31</v>
      </c>
      <c r="B53" s="408" t="s">
        <v>88</v>
      </c>
      <c r="C53" s="423" t="str">
        <f>"Workpaper 1, Line "&amp;'1-RB Items'!$A$67&amp;", Col. "&amp;'1-RB Items'!H7&amp;""</f>
        <v>Workpaper 1, Line 42, Col. (g)</v>
      </c>
      <c r="D53" s="443">
        <f>+'1-RB Items'!H67</f>
        <v>0</v>
      </c>
      <c r="E53" s="379"/>
      <c r="F53" s="379" t="s">
        <v>432</v>
      </c>
      <c r="G53" s="431" t="e">
        <f>+G161*D156</f>
        <v>#DIV/0!</v>
      </c>
      <c r="H53" s="428"/>
      <c r="I53" s="444" t="e">
        <f>+D53*G53</f>
        <v>#DIV/0!</v>
      </c>
      <c r="J53" s="379"/>
      <c r="K53" s="459"/>
    </row>
    <row r="54" spans="1:11">
      <c r="A54" s="412">
        <f t="shared" si="6"/>
        <v>32</v>
      </c>
      <c r="B54" s="408" t="s">
        <v>380</v>
      </c>
      <c r="C54" s="434" t="str">
        <f>"(Sum of Lines "&amp;A49&amp;" through "&amp;A53&amp;")"</f>
        <v>(Sum of Lines 27 through 31)</v>
      </c>
      <c r="D54" s="435">
        <f>SUM(D49:D53)</f>
        <v>0</v>
      </c>
      <c r="E54" s="408"/>
      <c r="F54" s="408"/>
      <c r="I54" s="435" t="e">
        <f>SUM(I49:I53)</f>
        <v>#DIV/0!</v>
      </c>
      <c r="J54" s="408"/>
      <c r="K54" s="408"/>
    </row>
    <row r="55" spans="1:11" ht="15.75" thickBot="1">
      <c r="A55" s="407"/>
      <c r="B55" s="407"/>
      <c r="C55" s="379"/>
      <c r="D55" s="407"/>
      <c r="E55" s="379"/>
      <c r="F55" s="379"/>
      <c r="G55" s="379"/>
      <c r="H55" s="379"/>
      <c r="I55" s="368"/>
      <c r="J55" s="379"/>
      <c r="K55" s="379"/>
    </row>
    <row r="56" spans="1:11" ht="30" thickBot="1">
      <c r="A56" s="412">
        <f>+A54+1</f>
        <v>33</v>
      </c>
      <c r="B56" s="460" t="s">
        <v>98</v>
      </c>
      <c r="C56" s="356" t="str">
        <f>"(Line "&amp;A39&amp;" + Line "&amp;A44&amp;" + Line "&amp;A46&amp;" + Line "&amp;A54&amp;")"</f>
        <v>(Line 22 + Line 25 + Line 26 + Line 32)</v>
      </c>
      <c r="D56" s="429"/>
      <c r="E56" s="428"/>
      <c r="F56" s="428"/>
      <c r="G56" s="445"/>
      <c r="H56" s="428"/>
      <c r="I56" s="608" t="e">
        <f>+I54+I46+I44+I39</f>
        <v>#DIV/0!</v>
      </c>
      <c r="J56" s="379"/>
      <c r="K56" s="437"/>
    </row>
    <row r="57" spans="1:11" ht="15.75" thickTop="1">
      <c r="A57" s="412"/>
      <c r="B57" s="408"/>
      <c r="C57" s="379"/>
      <c r="D57" s="379"/>
      <c r="E57" s="379"/>
      <c r="F57" s="379"/>
      <c r="G57" s="379"/>
      <c r="H57" s="379"/>
      <c r="I57" s="379"/>
      <c r="J57" s="379"/>
      <c r="K57" s="461"/>
    </row>
    <row r="58" spans="1:11">
      <c r="A58" s="412"/>
      <c r="B58" s="408" t="s">
        <v>0</v>
      </c>
      <c r="C58" s="379"/>
      <c r="D58" s="379" t="s">
        <v>1</v>
      </c>
      <c r="E58" s="379"/>
      <c r="F58" s="379"/>
      <c r="G58" s="379"/>
      <c r="H58" s="379"/>
      <c r="J58" s="379"/>
      <c r="K58" s="462" t="str">
        <f>H3</f>
        <v>Projected ATRR or Actual ATRR for the 12 Months Ended 12/31/XXXX</v>
      </c>
    </row>
    <row r="59" spans="1:11">
      <c r="A59" s="412"/>
      <c r="B59" s="408"/>
      <c r="C59" s="379"/>
      <c r="D59" s="379" t="s">
        <v>3</v>
      </c>
      <c r="E59" s="379"/>
      <c r="F59" s="379"/>
      <c r="G59" s="379"/>
      <c r="H59" s="379"/>
      <c r="I59" s="379"/>
      <c r="J59" s="379"/>
      <c r="K59" s="379"/>
    </row>
    <row r="60" spans="1:11">
      <c r="A60" s="412"/>
      <c r="B60" s="407"/>
      <c r="C60" s="379"/>
      <c r="D60" s="379"/>
      <c r="E60" s="379"/>
      <c r="F60" s="379"/>
      <c r="G60" s="379"/>
      <c r="H60" s="379"/>
      <c r="I60" s="379"/>
      <c r="J60" s="379"/>
      <c r="K60" s="379"/>
    </row>
    <row r="61" spans="1:11" ht="15.75">
      <c r="A61" s="650" t="str">
        <f>A6</f>
        <v>Central Hudson Gas and Electric Corporation</v>
      </c>
      <c r="B61" s="650"/>
      <c r="C61" s="650"/>
      <c r="D61" s="650"/>
      <c r="E61" s="650"/>
      <c r="F61" s="650"/>
      <c r="G61" s="650"/>
      <c r="H61" s="650"/>
      <c r="I61" s="650"/>
      <c r="J61" s="598"/>
      <c r="K61" s="598"/>
    </row>
    <row r="62" spans="1:11" ht="15.75">
      <c r="A62" s="639" t="s">
        <v>538</v>
      </c>
      <c r="B62" s="639"/>
      <c r="C62" s="639"/>
      <c r="D62" s="639"/>
      <c r="E62" s="639"/>
      <c r="F62" s="639"/>
      <c r="G62" s="639"/>
      <c r="H62" s="639"/>
      <c r="I62" s="639"/>
      <c r="J62" s="596"/>
      <c r="K62" s="596"/>
    </row>
    <row r="63" spans="1:11" ht="15.75">
      <c r="A63" s="596"/>
      <c r="B63" s="596"/>
      <c r="C63" s="596"/>
      <c r="D63" s="596"/>
      <c r="E63" s="596"/>
      <c r="F63" s="596"/>
      <c r="G63" s="596"/>
      <c r="H63" s="596"/>
      <c r="I63" s="596"/>
      <c r="J63" s="596"/>
      <c r="K63" s="596"/>
    </row>
    <row r="64" spans="1:11">
      <c r="A64" s="412"/>
      <c r="B64" s="412" t="s">
        <v>10</v>
      </c>
      <c r="C64" s="412" t="s">
        <v>11</v>
      </c>
      <c r="D64" s="412" t="s">
        <v>12</v>
      </c>
      <c r="E64" s="379" t="s">
        <v>2</v>
      </c>
      <c r="F64" s="379"/>
      <c r="G64" s="415" t="s">
        <v>13</v>
      </c>
      <c r="H64" s="379"/>
      <c r="I64" s="413" t="s">
        <v>14</v>
      </c>
      <c r="J64" s="379"/>
      <c r="K64" s="379"/>
    </row>
    <row r="65" spans="1:11" ht="15.75">
      <c r="A65" s="412" t="s">
        <v>6</v>
      </c>
      <c r="B65" s="408"/>
      <c r="D65" s="379"/>
      <c r="E65" s="379"/>
      <c r="F65" s="379"/>
      <c r="G65" s="412"/>
      <c r="H65" s="379"/>
      <c r="J65" s="379"/>
      <c r="K65" s="418"/>
    </row>
    <row r="66" spans="1:11" ht="48" thickBot="1">
      <c r="A66" s="419" t="s">
        <v>7</v>
      </c>
      <c r="B66" s="463" t="s">
        <v>148</v>
      </c>
      <c r="C66" s="421" t="s">
        <v>496</v>
      </c>
      <c r="D66" s="422" t="str">
        <f>+D12</f>
        <v>Company Total (where applicable)</v>
      </c>
      <c r="E66" s="417"/>
      <c r="F66" s="638" t="s">
        <v>166</v>
      </c>
      <c r="G66" s="638"/>
      <c r="H66" s="417"/>
      <c r="I66" s="422" t="str">
        <f>+I12</f>
        <v>Schedule 19 Projects</v>
      </c>
      <c r="J66" s="379"/>
      <c r="K66" s="418"/>
    </row>
    <row r="67" spans="1:11" ht="30">
      <c r="A67" s="412"/>
      <c r="B67" s="449" t="s">
        <v>512</v>
      </c>
      <c r="C67" s="379"/>
      <c r="D67" s="379"/>
      <c r="E67" s="379"/>
      <c r="F67" s="379"/>
      <c r="G67" s="379"/>
      <c r="H67" s="379"/>
      <c r="I67" s="379"/>
      <c r="J67" s="379"/>
      <c r="K67" s="379"/>
    </row>
    <row r="68" spans="1:11">
      <c r="A68" s="412">
        <f>+A56+1</f>
        <v>34</v>
      </c>
      <c r="B68" s="408" t="s">
        <v>391</v>
      </c>
      <c r="C68" s="357" t="s">
        <v>420</v>
      </c>
      <c r="D68" s="450" t="s">
        <v>18</v>
      </c>
      <c r="E68" s="379"/>
      <c r="F68" s="379" t="s">
        <v>81</v>
      </c>
      <c r="G68" s="431"/>
      <c r="H68" s="428"/>
      <c r="I68" s="469">
        <v>0</v>
      </c>
      <c r="J68" s="408"/>
      <c r="K68" s="379"/>
    </row>
    <row r="69" spans="1:11">
      <c r="A69" s="412">
        <f>+A68+1</f>
        <v>35</v>
      </c>
      <c r="B69" s="408" t="s">
        <v>392</v>
      </c>
      <c r="C69" s="357" t="s">
        <v>604</v>
      </c>
      <c r="D69" s="464">
        <v>0</v>
      </c>
      <c r="E69" s="379"/>
      <c r="F69" s="379"/>
      <c r="G69" s="431"/>
      <c r="H69" s="428"/>
      <c r="I69" s="429"/>
      <c r="J69" s="408"/>
      <c r="K69" s="379"/>
    </row>
    <row r="70" spans="1:11">
      <c r="A70" s="412">
        <f>+A69+1</f>
        <v>36</v>
      </c>
      <c r="B70" s="408" t="s">
        <v>410</v>
      </c>
      <c r="C70" s="453" t="s">
        <v>465</v>
      </c>
      <c r="D70" s="465">
        <v>0</v>
      </c>
      <c r="E70" s="379"/>
      <c r="F70" s="379"/>
      <c r="G70" s="431"/>
      <c r="H70" s="428"/>
      <c r="I70" s="429"/>
      <c r="J70" s="408"/>
      <c r="K70" s="379"/>
    </row>
    <row r="71" spans="1:11">
      <c r="A71" s="412">
        <f t="shared" ref="A71:A74" si="7">+A70+1</f>
        <v>37</v>
      </c>
      <c r="B71" s="408" t="s">
        <v>409</v>
      </c>
      <c r="C71" s="609" t="str">
        <f>"Line "&amp;A69&amp;" - Line "&amp;A70&amp;""</f>
        <v>Line 35 - Line 36</v>
      </c>
      <c r="D71" s="464">
        <f>+D69-D70</f>
        <v>0</v>
      </c>
      <c r="E71" s="379"/>
      <c r="F71" s="379" t="s">
        <v>433</v>
      </c>
      <c r="G71" s="431" t="e">
        <f>+D144</f>
        <v>#DIV/0!</v>
      </c>
      <c r="H71" s="428"/>
      <c r="I71" s="429" t="e">
        <f>+D71*G71</f>
        <v>#DIV/0!</v>
      </c>
      <c r="J71" s="408"/>
      <c r="K71" s="379"/>
    </row>
    <row r="72" spans="1:11">
      <c r="A72" s="412">
        <f t="shared" si="7"/>
        <v>38</v>
      </c>
      <c r="B72" s="408" t="s">
        <v>350</v>
      </c>
      <c r="C72" s="357" t="s">
        <v>421</v>
      </c>
      <c r="D72" s="464">
        <v>0</v>
      </c>
      <c r="E72" s="379"/>
      <c r="F72" s="379"/>
      <c r="G72" s="431"/>
      <c r="H72" s="428"/>
      <c r="I72" s="429"/>
      <c r="J72" s="379"/>
      <c r="K72" s="379"/>
    </row>
    <row r="73" spans="1:11">
      <c r="A73" s="412">
        <f t="shared" si="7"/>
        <v>39</v>
      </c>
      <c r="B73" s="408" t="s">
        <v>468</v>
      </c>
      <c r="C73" s="453" t="s">
        <v>465</v>
      </c>
      <c r="D73" s="464">
        <v>0</v>
      </c>
      <c r="E73" s="379"/>
      <c r="F73" s="379"/>
      <c r="G73" s="431"/>
      <c r="H73" s="428"/>
      <c r="I73" s="429"/>
      <c r="J73" s="379"/>
      <c r="K73" s="379"/>
    </row>
    <row r="74" spans="1:11" ht="18" customHeight="1">
      <c r="A74" s="412">
        <f t="shared" si="7"/>
        <v>40</v>
      </c>
      <c r="B74" s="449" t="s">
        <v>470</v>
      </c>
      <c r="C74" s="357" t="s">
        <v>422</v>
      </c>
      <c r="D74" s="464">
        <v>0</v>
      </c>
      <c r="E74" s="379"/>
      <c r="F74" s="379"/>
      <c r="G74" s="431"/>
      <c r="H74" s="428"/>
      <c r="I74" s="429"/>
      <c r="J74" s="379"/>
      <c r="K74" s="379"/>
    </row>
    <row r="75" spans="1:11">
      <c r="A75" s="412">
        <f t="shared" ref="A75:A81" si="8">+A74+1</f>
        <v>41</v>
      </c>
      <c r="B75" s="449" t="s">
        <v>466</v>
      </c>
      <c r="C75" s="357" t="s">
        <v>423</v>
      </c>
      <c r="D75" s="464">
        <v>0</v>
      </c>
      <c r="E75" s="379"/>
      <c r="F75" s="379"/>
      <c r="G75" s="431"/>
      <c r="H75" s="428"/>
      <c r="I75" s="429"/>
      <c r="J75" s="379"/>
      <c r="K75" s="379"/>
    </row>
    <row r="76" spans="1:11">
      <c r="A76" s="412">
        <f t="shared" si="8"/>
        <v>42</v>
      </c>
      <c r="B76" s="449" t="s">
        <v>471</v>
      </c>
      <c r="C76" s="357" t="s">
        <v>472</v>
      </c>
      <c r="D76" s="465">
        <v>0</v>
      </c>
      <c r="E76" s="379"/>
      <c r="F76" s="379"/>
      <c r="G76" s="431"/>
      <c r="H76" s="428"/>
      <c r="I76" s="429"/>
      <c r="J76" s="379"/>
      <c r="K76" s="379"/>
    </row>
    <row r="77" spans="1:11" ht="35.25" customHeight="1">
      <c r="A77" s="412">
        <f t="shared" si="8"/>
        <v>43</v>
      </c>
      <c r="B77" s="449" t="s">
        <v>366</v>
      </c>
      <c r="C77" s="388" t="str">
        <f>"Line "&amp;A72&amp;" - Line "&amp;A73&amp;" - Line "&amp;A74&amp;" - Line "&amp;A75&amp;" - Line "&amp;A76&amp;""</f>
        <v>Line 38 - Line 39 - Line 40 - Line 41 - Line 42</v>
      </c>
      <c r="D77" s="464">
        <f>+D72-D73-D74-D75-D76</f>
        <v>0</v>
      </c>
      <c r="E77" s="379"/>
      <c r="F77" s="379" t="s">
        <v>431</v>
      </c>
      <c r="G77" s="431" t="e">
        <f>+D156</f>
        <v>#DIV/0!</v>
      </c>
      <c r="H77" s="428"/>
      <c r="I77" s="429" t="e">
        <f>+D77*G77</f>
        <v>#DIV/0!</v>
      </c>
      <c r="J77" s="379"/>
      <c r="K77" s="379"/>
    </row>
    <row r="78" spans="1:11">
      <c r="A78" s="412">
        <f t="shared" si="8"/>
        <v>44</v>
      </c>
      <c r="B78" s="449" t="s">
        <v>342</v>
      </c>
      <c r="C78" s="357" t="s">
        <v>411</v>
      </c>
      <c r="D78" s="464">
        <v>0</v>
      </c>
      <c r="E78" s="379"/>
      <c r="F78" s="466" t="s">
        <v>433</v>
      </c>
      <c r="G78" s="467" t="e">
        <f>+D144</f>
        <v>#DIV/0!</v>
      </c>
      <c r="H78" s="428"/>
      <c r="I78" s="429" t="e">
        <f>+D78*G78</f>
        <v>#DIV/0!</v>
      </c>
      <c r="J78" s="379"/>
      <c r="K78" s="468"/>
    </row>
    <row r="79" spans="1:11" ht="30">
      <c r="A79" s="412">
        <f t="shared" si="8"/>
        <v>45</v>
      </c>
      <c r="B79" s="449" t="s">
        <v>653</v>
      </c>
      <c r="C79" s="357" t="s">
        <v>411</v>
      </c>
      <c r="D79" s="450" t="s">
        <v>18</v>
      </c>
      <c r="E79" s="379"/>
      <c r="F79" s="466" t="s">
        <v>81</v>
      </c>
      <c r="G79" s="467"/>
      <c r="H79" s="428"/>
      <c r="I79" s="469">
        <v>0</v>
      </c>
      <c r="J79" s="379"/>
      <c r="K79" s="468"/>
    </row>
    <row r="80" spans="1:11">
      <c r="A80" s="412">
        <f t="shared" si="8"/>
        <v>46</v>
      </c>
      <c r="B80" s="449" t="s">
        <v>467</v>
      </c>
      <c r="C80" s="434" t="str">
        <f>"Line "&amp;A75&amp;""</f>
        <v>Line 41</v>
      </c>
      <c r="D80" s="576">
        <f>+D75</f>
        <v>0</v>
      </c>
      <c r="E80" s="379"/>
      <c r="F80" s="466" t="s">
        <v>351</v>
      </c>
      <c r="G80" s="467" t="e">
        <f>+G21</f>
        <v>#DIV/0!</v>
      </c>
      <c r="H80" s="428"/>
      <c r="I80" s="455" t="e">
        <f>+D80*G80</f>
        <v>#DIV/0!</v>
      </c>
      <c r="J80" s="379"/>
      <c r="K80" s="379"/>
    </row>
    <row r="81" spans="1:11">
      <c r="A81" s="412">
        <f t="shared" si="8"/>
        <v>47</v>
      </c>
      <c r="B81" s="408" t="s">
        <v>101</v>
      </c>
      <c r="C81" s="356" t="str">
        <f>"Sum of Lines "&amp;A68&amp;" through "&amp;A80&amp;""</f>
        <v>Sum of Lines 34 through 46</v>
      </c>
      <c r="D81" s="597" t="s">
        <v>18</v>
      </c>
      <c r="E81" s="379"/>
      <c r="F81" s="379"/>
      <c r="G81" s="470"/>
      <c r="H81" s="428"/>
      <c r="I81" s="435" t="e">
        <f>+SUM(I68:I80)</f>
        <v>#DIV/0!</v>
      </c>
      <c r="J81" s="379"/>
      <c r="K81" s="379"/>
    </row>
    <row r="82" spans="1:11">
      <c r="A82" s="412"/>
      <c r="B82" s="407"/>
      <c r="C82" s="357"/>
      <c r="D82" s="407"/>
      <c r="E82" s="379"/>
      <c r="F82" s="379"/>
      <c r="G82" s="470"/>
      <c r="H82" s="379"/>
      <c r="I82" s="407"/>
      <c r="J82" s="379"/>
      <c r="K82" s="379"/>
    </row>
    <row r="83" spans="1:11">
      <c r="A83" s="412"/>
      <c r="B83" s="408" t="s">
        <v>25</v>
      </c>
      <c r="C83" s="357"/>
      <c r="D83" s="379"/>
      <c r="E83" s="379"/>
      <c r="F83" s="379"/>
      <c r="G83" s="470"/>
      <c r="H83" s="379"/>
      <c r="I83" s="379"/>
      <c r="J83" s="379"/>
      <c r="K83" s="379"/>
    </row>
    <row r="84" spans="1:11">
      <c r="A84" s="412">
        <f>+A81+1</f>
        <v>48</v>
      </c>
      <c r="B84" s="408" t="s">
        <v>29</v>
      </c>
      <c r="C84" s="471" t="s">
        <v>104</v>
      </c>
      <c r="D84" s="464">
        <v>0</v>
      </c>
      <c r="E84" s="379"/>
      <c r="F84" s="379" t="s">
        <v>81</v>
      </c>
      <c r="G84" s="431"/>
      <c r="H84" s="428"/>
      <c r="I84" s="469">
        <v>0</v>
      </c>
      <c r="J84" s="379"/>
      <c r="K84" s="472"/>
    </row>
    <row r="85" spans="1:11">
      <c r="A85" s="412">
        <f>A84+1</f>
        <v>49</v>
      </c>
      <c r="B85" s="473" t="s">
        <v>99</v>
      </c>
      <c r="C85" s="471" t="s">
        <v>346</v>
      </c>
      <c r="D85" s="464">
        <v>0</v>
      </c>
      <c r="E85" s="379"/>
      <c r="F85" s="379" t="s">
        <v>431</v>
      </c>
      <c r="G85" s="431" t="e">
        <f>+D156</f>
        <v>#DIV/0!</v>
      </c>
      <c r="H85" s="428"/>
      <c r="I85" s="429" t="e">
        <f>+G85*D85</f>
        <v>#DIV/0!</v>
      </c>
      <c r="J85" s="379"/>
      <c r="K85" s="437"/>
    </row>
    <row r="86" spans="1:11">
      <c r="A86" s="412">
        <f>+A85+1</f>
        <v>50</v>
      </c>
      <c r="B86" s="408" t="s">
        <v>345</v>
      </c>
      <c r="C86" s="471" t="s">
        <v>102</v>
      </c>
      <c r="D86" s="465">
        <v>0</v>
      </c>
      <c r="E86" s="379"/>
      <c r="F86" s="379" t="s">
        <v>431</v>
      </c>
      <c r="G86" s="458" t="e">
        <f>+D156</f>
        <v>#DIV/0!</v>
      </c>
      <c r="H86" s="428"/>
      <c r="I86" s="455" t="e">
        <f>+G86*D86</f>
        <v>#DIV/0!</v>
      </c>
      <c r="J86" s="379"/>
      <c r="K86" s="437"/>
    </row>
    <row r="87" spans="1:11">
      <c r="A87" s="412">
        <f>+A86+1</f>
        <v>51</v>
      </c>
      <c r="B87" s="408" t="s">
        <v>103</v>
      </c>
      <c r="C87" s="356" t="str">
        <f>"Sum of Lines "&amp;A84&amp;" through "&amp;A86&amp;""</f>
        <v>Sum of Lines 48 through 50</v>
      </c>
      <c r="D87" s="435">
        <f>SUM(D84:D86)</f>
        <v>0</v>
      </c>
      <c r="E87" s="379"/>
      <c r="F87" s="379"/>
      <c r="G87" s="470"/>
      <c r="H87" s="428"/>
      <c r="I87" s="429" t="e">
        <f>SUM(I84:I86)</f>
        <v>#DIV/0!</v>
      </c>
      <c r="J87" s="379"/>
      <c r="K87" s="379"/>
    </row>
    <row r="88" spans="1:11">
      <c r="A88" s="412"/>
      <c r="B88" s="408"/>
      <c r="C88" s="357"/>
      <c r="D88" s="379"/>
      <c r="E88" s="379"/>
      <c r="F88" s="379"/>
      <c r="G88" s="470"/>
      <c r="H88" s="428"/>
      <c r="I88" s="428"/>
      <c r="J88" s="379"/>
      <c r="K88" s="379"/>
    </row>
    <row r="89" spans="1:11" ht="33" customHeight="1">
      <c r="A89" s="412" t="s">
        <v>2</v>
      </c>
      <c r="B89" s="449" t="s">
        <v>357</v>
      </c>
      <c r="C89" s="448"/>
      <c r="D89" s="379"/>
      <c r="E89" s="379"/>
      <c r="F89" s="379"/>
      <c r="G89" s="470"/>
      <c r="H89" s="428"/>
      <c r="I89" s="428"/>
      <c r="J89" s="379"/>
      <c r="K89" s="379"/>
    </row>
    <row r="90" spans="1:11">
      <c r="A90" s="412"/>
      <c r="B90" s="408" t="s">
        <v>26</v>
      </c>
      <c r="C90" s="448"/>
      <c r="D90" s="407"/>
      <c r="E90" s="379"/>
      <c r="F90" s="379"/>
      <c r="G90" s="470"/>
      <c r="H90" s="428"/>
      <c r="J90" s="379"/>
      <c r="K90" s="437"/>
    </row>
    <row r="91" spans="1:11">
      <c r="A91" s="412">
        <f>+A87+1</f>
        <v>52</v>
      </c>
      <c r="B91" s="408" t="s">
        <v>157</v>
      </c>
      <c r="C91" s="453" t="s">
        <v>645</v>
      </c>
      <c r="D91" s="464">
        <v>0</v>
      </c>
      <c r="E91" s="379"/>
      <c r="F91" s="379" t="str">
        <f>+F86</f>
        <v>S19 W/S</v>
      </c>
      <c r="G91" s="431" t="e">
        <f>+G161*D156</f>
        <v>#DIV/0!</v>
      </c>
      <c r="H91" s="428"/>
      <c r="I91" s="429" t="e">
        <f>+G91*D91</f>
        <v>#DIV/0!</v>
      </c>
      <c r="J91" s="379"/>
      <c r="K91" s="437"/>
    </row>
    <row r="92" spans="1:11">
      <c r="A92" s="412">
        <f>A91+1</f>
        <v>53</v>
      </c>
      <c r="B92" s="408" t="s">
        <v>27</v>
      </c>
      <c r="C92" s="357" t="s">
        <v>2</v>
      </c>
      <c r="D92" s="407"/>
      <c r="E92" s="379"/>
      <c r="F92" s="379"/>
      <c r="G92" s="470"/>
      <c r="H92" s="428"/>
      <c r="J92" s="379"/>
      <c r="K92" s="437"/>
    </row>
    <row r="93" spans="1:11">
      <c r="A93" s="412">
        <f t="shared" ref="A93:A97" si="9">A92+1</f>
        <v>54</v>
      </c>
      <c r="B93" s="408" t="s">
        <v>105</v>
      </c>
      <c r="C93" s="453" t="s">
        <v>646</v>
      </c>
      <c r="D93" s="464">
        <v>0</v>
      </c>
      <c r="E93" s="379"/>
      <c r="F93" s="379" t="s">
        <v>353</v>
      </c>
      <c r="G93" s="431" t="e">
        <f>+G161*G21</f>
        <v>#DIV/0!</v>
      </c>
      <c r="H93" s="428"/>
      <c r="I93" s="429" t="e">
        <f>+G93*D93</f>
        <v>#DIV/0!</v>
      </c>
      <c r="J93" s="379"/>
      <c r="K93" s="437"/>
    </row>
    <row r="94" spans="1:11">
      <c r="A94" s="412">
        <f t="shared" si="9"/>
        <v>55</v>
      </c>
      <c r="B94" s="408" t="s">
        <v>106</v>
      </c>
      <c r="C94" s="453" t="s">
        <v>647</v>
      </c>
      <c r="D94" s="464">
        <v>0</v>
      </c>
      <c r="E94" s="379"/>
      <c r="F94" s="379" t="str">
        <f>+F93</f>
        <v>CP*GPE</v>
      </c>
      <c r="G94" s="474" t="e">
        <f>+G21*G161</f>
        <v>#DIV/0!</v>
      </c>
      <c r="H94" s="428"/>
      <c r="I94" s="428" t="e">
        <f>+D94*G94</f>
        <v>#DIV/0!</v>
      </c>
      <c r="J94" s="379"/>
      <c r="K94" s="437"/>
    </row>
    <row r="95" spans="1:11">
      <c r="A95" s="412">
        <f t="shared" si="9"/>
        <v>56</v>
      </c>
      <c r="B95" s="408" t="s">
        <v>424</v>
      </c>
      <c r="C95" s="357"/>
      <c r="D95" s="424"/>
      <c r="E95" s="379"/>
      <c r="F95" s="379" t="s">
        <v>521</v>
      </c>
      <c r="G95" s="474"/>
      <c r="H95" s="428"/>
      <c r="I95" s="428">
        <f>+D205</f>
        <v>0</v>
      </c>
      <c r="J95" s="379"/>
      <c r="K95" s="437"/>
    </row>
    <row r="96" spans="1:11">
      <c r="A96" s="412">
        <f t="shared" si="9"/>
        <v>57</v>
      </c>
      <c r="B96" s="475" t="s">
        <v>627</v>
      </c>
      <c r="C96" s="453" t="s">
        <v>469</v>
      </c>
      <c r="D96" s="465">
        <v>0</v>
      </c>
      <c r="E96" s="379"/>
      <c r="F96" s="476"/>
      <c r="G96" s="477"/>
      <c r="H96" s="428"/>
      <c r="I96" s="455">
        <f>+G96*D96</f>
        <v>0</v>
      </c>
      <c r="J96" s="379"/>
      <c r="K96" s="478"/>
    </row>
    <row r="97" spans="1:11">
      <c r="A97" s="412">
        <f t="shared" si="9"/>
        <v>58</v>
      </c>
      <c r="B97" s="408" t="s">
        <v>108</v>
      </c>
      <c r="C97" s="356" t="str">
        <f>"Sum of Lines "&amp;A91&amp;" and "&amp;A93&amp;" through "&amp;A96&amp;""</f>
        <v>Sum of Lines 52 and 54 through 57</v>
      </c>
      <c r="D97" s="435">
        <f>SUM(D91:D96)</f>
        <v>0</v>
      </c>
      <c r="E97" s="379"/>
      <c r="F97" s="379"/>
      <c r="G97" s="479"/>
      <c r="H97" s="428"/>
      <c r="I97" s="429" t="e">
        <f>SUM(I91:I96)</f>
        <v>#DIV/0!</v>
      </c>
      <c r="J97" s="379"/>
      <c r="K97" s="379"/>
    </row>
    <row r="98" spans="1:11">
      <c r="A98" s="412"/>
      <c r="B98" s="408"/>
      <c r="C98" s="357"/>
      <c r="D98" s="379"/>
      <c r="E98" s="379"/>
      <c r="F98" s="379"/>
      <c r="G98" s="480"/>
      <c r="H98" s="379"/>
      <c r="I98" s="379"/>
      <c r="J98" s="379"/>
      <c r="K98" s="379"/>
    </row>
    <row r="99" spans="1:11">
      <c r="A99" s="412" t="s">
        <v>2</v>
      </c>
      <c r="B99" s="408" t="s">
        <v>158</v>
      </c>
      <c r="C99" s="357"/>
      <c r="D99" s="379"/>
      <c r="E99" s="379"/>
      <c r="F99" s="407"/>
      <c r="G99" s="481"/>
      <c r="H99" s="379"/>
      <c r="I99" s="407"/>
      <c r="J99" s="379"/>
      <c r="K99" s="407"/>
    </row>
    <row r="100" spans="1:11" ht="36" customHeight="1">
      <c r="A100" s="412">
        <f>+A97+1</f>
        <v>59</v>
      </c>
      <c r="B100" s="472" t="s">
        <v>160</v>
      </c>
      <c r="C100" s="482" t="s">
        <v>159</v>
      </c>
      <c r="D100" s="483">
        <f>IF(D182&gt;0,(1-((1-D183)*(1-D182))/(1-D183*D182*D184)),0)</f>
        <v>0</v>
      </c>
      <c r="E100" s="379"/>
      <c r="F100" s="407"/>
      <c r="G100" s="481"/>
      <c r="H100" s="379"/>
      <c r="I100" s="484"/>
      <c r="J100" s="379"/>
      <c r="K100" s="407"/>
    </row>
    <row r="101" spans="1:11">
      <c r="A101" s="412">
        <f>+A100+1</f>
        <v>60</v>
      </c>
      <c r="B101" s="452" t="s">
        <v>107</v>
      </c>
      <c r="C101" s="357" t="s">
        <v>115</v>
      </c>
      <c r="D101" s="485">
        <f>IF(D100&gt;0,1/(1-D100),0)</f>
        <v>0</v>
      </c>
      <c r="E101" s="379"/>
      <c r="F101" s="407"/>
      <c r="G101" s="481"/>
      <c r="H101" s="379"/>
      <c r="I101" s="407"/>
      <c r="J101" s="379"/>
      <c r="K101" s="486"/>
    </row>
    <row r="102" spans="1:11">
      <c r="A102" s="412">
        <f t="shared" ref="A102:A103" si="10">+A101+1</f>
        <v>61</v>
      </c>
      <c r="B102" s="452" t="s">
        <v>386</v>
      </c>
      <c r="C102" s="357" t="s">
        <v>387</v>
      </c>
      <c r="D102" s="485">
        <f>+D100/(1-D100)</f>
        <v>0</v>
      </c>
      <c r="E102" s="379"/>
      <c r="F102" s="407"/>
      <c r="G102" s="481"/>
      <c r="H102" s="379"/>
      <c r="I102" s="407"/>
      <c r="J102" s="379"/>
      <c r="K102" s="487"/>
    </row>
    <row r="103" spans="1:11">
      <c r="A103" s="412">
        <f t="shared" si="10"/>
        <v>62</v>
      </c>
      <c r="B103" s="449" t="s">
        <v>109</v>
      </c>
      <c r="C103" s="357" t="s">
        <v>605</v>
      </c>
      <c r="D103" s="555" t="s">
        <v>18</v>
      </c>
      <c r="E103" s="379"/>
      <c r="F103" s="407" t="s">
        <v>81</v>
      </c>
      <c r="G103" s="481"/>
      <c r="H103" s="379"/>
      <c r="I103" s="441">
        <v>0</v>
      </c>
      <c r="J103" s="379"/>
      <c r="K103" s="407"/>
    </row>
    <row r="104" spans="1:11" ht="30">
      <c r="A104" s="412">
        <f t="shared" ref="A104:A110" si="11">+A103+1</f>
        <v>63</v>
      </c>
      <c r="B104" s="449" t="s">
        <v>514</v>
      </c>
      <c r="C104" s="453" t="s">
        <v>642</v>
      </c>
      <c r="D104" s="488" t="s">
        <v>18</v>
      </c>
      <c r="E104" s="379"/>
      <c r="F104" s="407" t="s">
        <v>81</v>
      </c>
      <c r="G104" s="489"/>
      <c r="H104" s="379"/>
      <c r="I104" s="490">
        <f>+'3-EADIT'!K36+'3-EADIT'!K63</f>
        <v>0</v>
      </c>
      <c r="J104" s="379"/>
      <c r="K104" s="407"/>
    </row>
    <row r="105" spans="1:11">
      <c r="A105" s="412">
        <f t="shared" si="11"/>
        <v>64</v>
      </c>
      <c r="B105" s="408" t="s">
        <v>110</v>
      </c>
      <c r="C105" s="357" t="str">
        <f>"Workpaper 4, Line "&amp;'4-IT Permanent Differences'!A11&amp;" Col. "&amp;'4-IT Permanent Differences'!F6&amp;""</f>
        <v>Workpaper 4, Line 2 Col. (e)</v>
      </c>
      <c r="D105" s="488" t="s">
        <v>18</v>
      </c>
      <c r="E105" s="379"/>
      <c r="F105" s="407" t="s">
        <v>81</v>
      </c>
      <c r="G105" s="481"/>
      <c r="H105" s="379"/>
      <c r="I105" s="447">
        <f>+'4-IT Permanent Differences'!F11</f>
        <v>0</v>
      </c>
      <c r="J105" s="379"/>
      <c r="K105" s="407"/>
    </row>
    <row r="106" spans="1:11">
      <c r="A106" s="412">
        <f t="shared" si="11"/>
        <v>65</v>
      </c>
      <c r="B106" s="452" t="s">
        <v>113</v>
      </c>
      <c r="C106" s="356" t="str">
        <f>"(Line "&amp;A114&amp;" * Line "&amp;A102&amp;")"</f>
        <v>(Line 71 * Line 61)</v>
      </c>
      <c r="D106" s="491" t="s">
        <v>18</v>
      </c>
      <c r="E106" s="428"/>
      <c r="F106" s="428" t="s">
        <v>112</v>
      </c>
      <c r="G106" s="479"/>
      <c r="H106" s="428"/>
      <c r="I106" s="429" t="e">
        <f>+I114*D102</f>
        <v>#DIV/0!</v>
      </c>
      <c r="J106" s="379"/>
      <c r="K106" s="492"/>
    </row>
    <row r="107" spans="1:11">
      <c r="A107" s="412">
        <f t="shared" si="11"/>
        <v>66</v>
      </c>
      <c r="B107" s="407" t="s">
        <v>114</v>
      </c>
      <c r="C107" s="356" t="str">
        <f>"(Line "&amp;A103&amp;" * Line "&amp;A101&amp;")"</f>
        <v>(Line 62 * Line 60)</v>
      </c>
      <c r="D107" s="556" t="s">
        <v>18</v>
      </c>
      <c r="E107" s="428"/>
      <c r="F107" s="360" t="s">
        <v>112</v>
      </c>
      <c r="G107" s="493"/>
      <c r="H107" s="428"/>
      <c r="I107" s="494">
        <f>+I103*D101</f>
        <v>0</v>
      </c>
      <c r="J107" s="379"/>
      <c r="K107" s="492"/>
    </row>
    <row r="108" spans="1:11">
      <c r="A108" s="412">
        <f t="shared" si="11"/>
        <v>67</v>
      </c>
      <c r="B108" s="407" t="s">
        <v>613</v>
      </c>
      <c r="C108" s="356" t="str">
        <f>"(Line "&amp;A104&amp;" * Line "&amp;A101&amp;")"</f>
        <v>(Line 63 * Line 60)</v>
      </c>
      <c r="D108" s="491" t="s">
        <v>18</v>
      </c>
      <c r="E108" s="428"/>
      <c r="F108" s="360" t="s">
        <v>112</v>
      </c>
      <c r="G108" s="493"/>
      <c r="H108" s="428"/>
      <c r="I108" s="494">
        <f>+I104*D101</f>
        <v>0</v>
      </c>
      <c r="J108" s="379"/>
      <c r="K108" s="492"/>
    </row>
    <row r="109" spans="1:11">
      <c r="A109" s="412">
        <f t="shared" si="11"/>
        <v>68</v>
      </c>
      <c r="B109" s="407" t="s">
        <v>28</v>
      </c>
      <c r="C109" s="356" t="str">
        <f>"(Line "&amp;A105&amp;" * Line "&amp;A101&amp;")"</f>
        <v>(Line 64 * Line 60)</v>
      </c>
      <c r="D109" s="495" t="s">
        <v>18</v>
      </c>
      <c r="E109" s="428"/>
      <c r="F109" s="360" t="s">
        <v>112</v>
      </c>
      <c r="G109" s="493"/>
      <c r="H109" s="428"/>
      <c r="I109" s="455">
        <f>+I105*D101</f>
        <v>0</v>
      </c>
      <c r="J109" s="379"/>
      <c r="K109" s="492"/>
    </row>
    <row r="110" spans="1:11">
      <c r="A110" s="412">
        <f t="shared" si="11"/>
        <v>69</v>
      </c>
      <c r="B110" s="452" t="s">
        <v>149</v>
      </c>
      <c r="C110" s="356" t="str">
        <f>"Sum of Lines "&amp;A106&amp;" through "&amp;A109&amp;""</f>
        <v>Sum of Lines 65 through 68</v>
      </c>
      <c r="D110" s="491" t="s">
        <v>18</v>
      </c>
      <c r="E110" s="428"/>
      <c r="F110" s="428" t="s">
        <v>2</v>
      </c>
      <c r="G110" s="479" t="s">
        <v>2</v>
      </c>
      <c r="H110" s="428"/>
      <c r="I110" s="496" t="e">
        <f>SUM(I106:I109)</f>
        <v>#DIV/0!</v>
      </c>
      <c r="J110" s="379"/>
      <c r="K110" s="379"/>
    </row>
    <row r="111" spans="1:11">
      <c r="A111" s="412" t="s">
        <v>2</v>
      </c>
      <c r="B111" s="407"/>
      <c r="C111" s="497"/>
      <c r="D111" s="498"/>
      <c r="E111" s="379"/>
      <c r="F111" s="379"/>
      <c r="G111" s="480"/>
      <c r="H111" s="379"/>
      <c r="I111" s="499"/>
      <c r="J111" s="379"/>
      <c r="K111" s="379"/>
    </row>
    <row r="112" spans="1:11">
      <c r="A112" s="412"/>
      <c r="B112" s="408" t="s">
        <v>394</v>
      </c>
      <c r="C112" s="437"/>
      <c r="D112" s="491"/>
      <c r="E112" s="428"/>
      <c r="F112" s="428"/>
      <c r="G112" s="500"/>
      <c r="H112" s="428"/>
      <c r="I112" s="429"/>
      <c r="J112" s="379"/>
      <c r="K112" s="407"/>
    </row>
    <row r="113" spans="1:11">
      <c r="A113" s="412">
        <f>+A110+1</f>
        <v>70</v>
      </c>
      <c r="B113" s="408" t="s">
        <v>111</v>
      </c>
      <c r="C113" s="356" t="str">
        <f>+"Workpaper 5, Line "&amp;'5-Project Return'!A35&amp;", Col. "&amp;'5-Project Return'!M6&amp;""</f>
        <v>Workpaper 5, Line 12, Col. (i)</v>
      </c>
      <c r="D113" s="491" t="s">
        <v>18</v>
      </c>
      <c r="E113" s="428"/>
      <c r="F113" s="428" t="s">
        <v>112</v>
      </c>
      <c r="G113" s="500"/>
      <c r="H113" s="428"/>
      <c r="I113" s="429" t="e">
        <f>+'5-Project Return'!M35</f>
        <v>#DIV/0!</v>
      </c>
      <c r="J113" s="379"/>
      <c r="K113" s="407"/>
    </row>
    <row r="114" spans="1:11">
      <c r="A114" s="412">
        <f>+A113+1</f>
        <v>71</v>
      </c>
      <c r="B114" s="408" t="s">
        <v>393</v>
      </c>
      <c r="C114" s="356" t="str">
        <f>+"Workpaper 5, Line "&amp;'5-Project Return'!A35&amp;", Col. "&amp;'5-Project Return'!J6&amp;""</f>
        <v>Workpaper 5, Line 12, Col. (f)</v>
      </c>
      <c r="D114" s="501" t="s">
        <v>18</v>
      </c>
      <c r="E114" s="428"/>
      <c r="F114" s="428" t="s">
        <v>112</v>
      </c>
      <c r="G114" s="500"/>
      <c r="H114" s="428"/>
      <c r="I114" s="442" t="e">
        <f>+'5-Project Return'!J35</f>
        <v>#DIV/0!</v>
      </c>
      <c r="J114" s="379"/>
      <c r="K114" s="407"/>
    </row>
    <row r="115" spans="1:11">
      <c r="A115" s="412">
        <f>+A114+1</f>
        <v>72</v>
      </c>
      <c r="B115" s="452" t="s">
        <v>150</v>
      </c>
      <c r="C115" s="356" t="str">
        <f>"Sum of Lines "&amp;A113&amp;" through "&amp;A114&amp;""</f>
        <v>Sum of Lines 70 through 71</v>
      </c>
      <c r="D115" s="502" t="s">
        <v>18</v>
      </c>
      <c r="E115" s="428"/>
      <c r="F115" s="428"/>
      <c r="G115" s="500"/>
      <c r="H115" s="428"/>
      <c r="I115" s="503" t="e">
        <f>+SUM(I113:I114)</f>
        <v>#DIV/0!</v>
      </c>
      <c r="J115" s="379"/>
      <c r="K115" s="437"/>
    </row>
    <row r="116" spans="1:11">
      <c r="A116" s="412"/>
      <c r="B116" s="452"/>
      <c r="C116" s="448"/>
      <c r="D116" s="502"/>
      <c r="E116" s="428"/>
      <c r="F116" s="428"/>
      <c r="G116" s="500"/>
      <c r="H116" s="428"/>
      <c r="I116" s="428"/>
      <c r="J116" s="379"/>
      <c r="K116" s="437"/>
    </row>
    <row r="117" spans="1:11">
      <c r="A117" s="412"/>
      <c r="B117" s="452"/>
      <c r="C117" s="448"/>
      <c r="D117" s="502"/>
      <c r="E117" s="428"/>
      <c r="F117" s="428"/>
      <c r="G117" s="500"/>
      <c r="H117" s="428"/>
      <c r="I117" s="428"/>
      <c r="J117" s="379"/>
      <c r="K117" s="437"/>
    </row>
    <row r="118" spans="1:11" ht="31.5">
      <c r="A118" s="412">
        <f>+A115+1</f>
        <v>73</v>
      </c>
      <c r="B118" s="504" t="s">
        <v>395</v>
      </c>
      <c r="C118" s="356" t="str">
        <f>"(Line "&amp;A81&amp;" + Line "&amp;A87&amp;" + Line "&amp;A97&amp;" + Line "&amp;A110&amp;" + Line "&amp;A115&amp;")"</f>
        <v>(Line 47 + Line 51 + Line 58 + Line 69 + Line 72)</v>
      </c>
      <c r="D118" s="491" t="s">
        <v>18</v>
      </c>
      <c r="E118" s="428"/>
      <c r="F118" s="428"/>
      <c r="G118" s="428"/>
      <c r="H118" s="428"/>
      <c r="I118" s="429" t="e">
        <f>+I115+I110+I97+I87+I81</f>
        <v>#DIV/0!</v>
      </c>
      <c r="J118" s="408"/>
      <c r="K118" s="408"/>
    </row>
    <row r="119" spans="1:11">
      <c r="A119" s="412"/>
      <c r="B119" s="408"/>
      <c r="C119" s="357"/>
      <c r="D119" s="502"/>
      <c r="E119" s="428"/>
      <c r="F119" s="428"/>
      <c r="G119" s="428"/>
      <c r="H119" s="428"/>
      <c r="I119" s="428"/>
      <c r="J119" s="408"/>
      <c r="K119" s="408"/>
    </row>
    <row r="120" spans="1:11" ht="15.75">
      <c r="A120" s="412">
        <f>+A118+1</f>
        <v>74</v>
      </c>
      <c r="B120" s="460" t="s">
        <v>33</v>
      </c>
      <c r="C120" s="356" t="str">
        <f>"(Line "&amp;A170&amp;")"</f>
        <v>(Line 99)</v>
      </c>
      <c r="D120" s="502" t="s">
        <v>18</v>
      </c>
      <c r="E120" s="428"/>
      <c r="F120" s="428"/>
      <c r="G120" s="428"/>
      <c r="H120" s="428"/>
      <c r="I120" s="505">
        <f>+D170*-1</f>
        <v>0</v>
      </c>
      <c r="J120" s="408"/>
      <c r="K120" s="408"/>
    </row>
    <row r="121" spans="1:11">
      <c r="A121" s="412"/>
      <c r="B121" s="408"/>
      <c r="C121" s="357"/>
      <c r="D121" s="502"/>
      <c r="E121" s="428"/>
      <c r="F121" s="428"/>
      <c r="G121" s="428"/>
      <c r="H121" s="428"/>
      <c r="I121" s="428"/>
      <c r="J121" s="408"/>
      <c r="K121" s="408"/>
    </row>
    <row r="122" spans="1:11" ht="31.5">
      <c r="A122" s="412">
        <f>+A120+1</f>
        <v>75</v>
      </c>
      <c r="B122" s="504" t="s">
        <v>516</v>
      </c>
      <c r="C122" s="356" t="str">
        <f>"(Line "&amp;A118&amp;" + Line "&amp;A120&amp;")"</f>
        <v>(Line 73 + Line 74)</v>
      </c>
      <c r="D122" s="502" t="s">
        <v>18</v>
      </c>
      <c r="E122" s="428"/>
      <c r="F122" s="428"/>
      <c r="G122" s="428"/>
      <c r="H122" s="428"/>
      <c r="I122" s="428" t="e">
        <f>+I118+I120</f>
        <v>#DIV/0!</v>
      </c>
      <c r="J122" s="408"/>
      <c r="K122" s="408"/>
    </row>
    <row r="123" spans="1:11">
      <c r="A123" s="412"/>
      <c r="B123" s="408"/>
      <c r="C123" s="357"/>
      <c r="D123" s="502"/>
      <c r="E123" s="428"/>
      <c r="F123" s="428"/>
      <c r="G123" s="428"/>
      <c r="H123" s="428"/>
      <c r="I123" s="428"/>
      <c r="J123" s="408"/>
      <c r="K123" s="408"/>
    </row>
    <row r="124" spans="1:11" ht="15.75">
      <c r="A124" s="412">
        <f>+A122+1</f>
        <v>76</v>
      </c>
      <c r="B124" s="460" t="s">
        <v>323</v>
      </c>
      <c r="C124" s="357" t="str">
        <f>"Workpaper 9, Line "&amp;'9-Corrections'!A29&amp;", Col. "&amp;'9-Corrections'!F6&amp;""</f>
        <v>Workpaper 9, Line 11, Col. (b)</v>
      </c>
      <c r="D124" s="502" t="s">
        <v>18</v>
      </c>
      <c r="E124" s="428"/>
      <c r="F124" s="428"/>
      <c r="G124" s="428"/>
      <c r="H124" s="428"/>
      <c r="I124" s="428">
        <f>+'9-Corrections'!F29</f>
        <v>0</v>
      </c>
      <c r="J124" s="408"/>
      <c r="K124" s="408"/>
    </row>
    <row r="125" spans="1:11">
      <c r="A125" s="412"/>
      <c r="B125" s="408"/>
      <c r="C125" s="357"/>
      <c r="D125" s="502"/>
      <c r="E125" s="428"/>
      <c r="F125" s="428"/>
      <c r="G125" s="428"/>
      <c r="H125" s="428"/>
      <c r="I125" s="428"/>
      <c r="J125" s="408"/>
      <c r="K125" s="408"/>
    </row>
    <row r="126" spans="1:11" ht="15.75">
      <c r="A126" s="412">
        <f>+A124+1</f>
        <v>77</v>
      </c>
      <c r="B126" s="504" t="s">
        <v>161</v>
      </c>
      <c r="C126" s="357" t="str">
        <f>"Workpaper 7, Line "&amp;'7-True-up Adjustment'!A38&amp;""</f>
        <v xml:space="preserve">Workpaper 7, Line </v>
      </c>
      <c r="D126" s="502" t="s">
        <v>18</v>
      </c>
      <c r="E126" s="428"/>
      <c r="F126" s="428"/>
      <c r="G126" s="445"/>
      <c r="H126" s="428"/>
      <c r="I126" s="506">
        <f>+'7-True-up Adjustment'!I38</f>
        <v>0</v>
      </c>
      <c r="J126" s="379"/>
      <c r="K126" s="437"/>
    </row>
    <row r="127" spans="1:11" ht="15.75" thickBot="1">
      <c r="A127" s="412"/>
      <c r="B127" s="408"/>
      <c r="C127" s="357"/>
      <c r="D127" s="502"/>
      <c r="E127" s="428"/>
      <c r="F127" s="428"/>
      <c r="G127" s="445"/>
      <c r="H127" s="428"/>
      <c r="I127" s="428"/>
      <c r="J127" s="379"/>
      <c r="K127" s="437"/>
    </row>
    <row r="128" spans="1:11" ht="16.5" thickBot="1">
      <c r="A128" s="412">
        <f>+A126+1</f>
        <v>78</v>
      </c>
      <c r="B128" s="460" t="s">
        <v>659</v>
      </c>
      <c r="C128" s="356" t="str">
        <f>"Sum of Lines "&amp;A122&amp;" through "&amp;A126&amp;""</f>
        <v>Sum of Lines 75 through 77</v>
      </c>
      <c r="D128" s="502" t="s">
        <v>18</v>
      </c>
      <c r="E128" s="428"/>
      <c r="F128" s="428"/>
      <c r="G128" s="445"/>
      <c r="H128" s="428"/>
      <c r="I128" s="507" t="e">
        <f>+I122+I126+I124</f>
        <v>#DIV/0!</v>
      </c>
      <c r="J128" s="379"/>
      <c r="K128" s="437"/>
    </row>
    <row r="129" spans="1:11" ht="15.75">
      <c r="A129" s="412"/>
      <c r="B129" s="460"/>
      <c r="C129" s="356"/>
      <c r="D129" s="428"/>
      <c r="E129" s="428"/>
      <c r="F129" s="428"/>
      <c r="G129" s="445"/>
      <c r="H129" s="428"/>
      <c r="I129" s="428"/>
      <c r="J129" s="379"/>
      <c r="K129" s="437"/>
    </row>
    <row r="130" spans="1:11">
      <c r="A130" s="412"/>
      <c r="B130" s="407"/>
      <c r="C130" s="407"/>
      <c r="D130" s="407"/>
      <c r="E130" s="407"/>
      <c r="F130" s="407"/>
      <c r="G130" s="407"/>
      <c r="H130" s="407"/>
      <c r="I130" s="407"/>
      <c r="J130" s="379"/>
      <c r="K130" s="461"/>
    </row>
    <row r="131" spans="1:11">
      <c r="A131" s="412"/>
      <c r="B131" s="407"/>
      <c r="C131" s="407"/>
      <c r="D131" s="407"/>
      <c r="E131" s="407"/>
      <c r="F131" s="407"/>
      <c r="G131" s="407"/>
      <c r="H131" s="407"/>
      <c r="I131" s="407"/>
      <c r="J131" s="379"/>
      <c r="K131" s="379"/>
    </row>
    <row r="132" spans="1:11">
      <c r="A132" s="412"/>
      <c r="B132" s="408" t="s">
        <v>0</v>
      </c>
      <c r="C132" s="407"/>
      <c r="D132" s="407" t="s">
        <v>1</v>
      </c>
      <c r="E132" s="407"/>
      <c r="F132" s="407"/>
      <c r="G132" s="407"/>
      <c r="H132" s="407"/>
      <c r="J132" s="379"/>
      <c r="K132" s="508" t="str">
        <f>H3</f>
        <v>Projected ATRR or Actual ATRR for the 12 Months Ended 12/31/XXXX</v>
      </c>
    </row>
    <row r="133" spans="1:11">
      <c r="A133" s="412"/>
      <c r="B133" s="408"/>
      <c r="C133" s="407"/>
      <c r="D133" s="407" t="s">
        <v>3</v>
      </c>
      <c r="E133" s="407"/>
      <c r="F133" s="407"/>
      <c r="G133" s="407"/>
      <c r="H133" s="407"/>
      <c r="I133" s="407"/>
      <c r="J133" s="379"/>
      <c r="K133" s="379"/>
    </row>
    <row r="134" spans="1:11">
      <c r="A134" s="412"/>
      <c r="B134" s="407"/>
      <c r="C134" s="407"/>
      <c r="D134" s="407"/>
      <c r="E134" s="407"/>
      <c r="F134" s="407"/>
      <c r="G134" s="407"/>
      <c r="H134" s="407"/>
      <c r="I134" s="407"/>
      <c r="J134" s="379"/>
      <c r="K134" s="379"/>
    </row>
    <row r="135" spans="1:11" ht="15.75">
      <c r="A135" s="650" t="str">
        <f>A6</f>
        <v>Central Hudson Gas and Electric Corporation</v>
      </c>
      <c r="B135" s="650"/>
      <c r="C135" s="650"/>
      <c r="D135" s="650"/>
      <c r="E135" s="650"/>
      <c r="F135" s="650"/>
      <c r="G135" s="650"/>
      <c r="H135" s="598"/>
      <c r="I135" s="598"/>
      <c r="J135" s="598"/>
      <c r="K135" s="598"/>
    </row>
    <row r="136" spans="1:11" ht="15.75">
      <c r="A136" s="639" t="s">
        <v>538</v>
      </c>
      <c r="B136" s="639"/>
      <c r="C136" s="639"/>
      <c r="D136" s="639"/>
      <c r="E136" s="639"/>
      <c r="F136" s="639"/>
      <c r="G136" s="639"/>
      <c r="H136" s="596"/>
      <c r="I136" s="596"/>
      <c r="J136" s="596"/>
      <c r="K136" s="596"/>
    </row>
    <row r="137" spans="1:11">
      <c r="A137" s="412"/>
      <c r="B137" s="407"/>
      <c r="C137" s="408"/>
      <c r="D137" s="408"/>
      <c r="E137" s="408"/>
      <c r="F137" s="408"/>
      <c r="G137" s="408"/>
      <c r="H137" s="408"/>
      <c r="I137" s="408"/>
      <c r="J137" s="408"/>
      <c r="K137" s="408"/>
    </row>
    <row r="138" spans="1:11" ht="15.75">
      <c r="A138" s="412"/>
      <c r="B138" s="509" t="s">
        <v>154</v>
      </c>
      <c r="D138" s="407"/>
      <c r="E138" s="408"/>
      <c r="F138" s="408"/>
      <c r="G138" s="408"/>
      <c r="H138" s="408"/>
      <c r="I138" s="408"/>
      <c r="J138" s="379"/>
      <c r="K138" s="379"/>
    </row>
    <row r="139" spans="1:11" ht="15.75">
      <c r="A139" s="412" t="s">
        <v>6</v>
      </c>
      <c r="B139" s="460"/>
      <c r="C139" s="408"/>
      <c r="D139" s="412"/>
      <c r="E139" s="408"/>
      <c r="F139" s="408"/>
      <c r="G139" s="408"/>
      <c r="H139" s="408"/>
      <c r="I139" s="408"/>
      <c r="J139" s="379"/>
      <c r="K139" s="379"/>
    </row>
    <row r="140" spans="1:11" ht="16.5" thickBot="1">
      <c r="A140" s="412" t="s">
        <v>7</v>
      </c>
      <c r="B140" s="460" t="s">
        <v>151</v>
      </c>
      <c r="C140" s="408"/>
      <c r="D140" s="408"/>
      <c r="E140" s="408"/>
      <c r="F140" s="408"/>
      <c r="G140" s="408"/>
      <c r="H140" s="407"/>
      <c r="I140" s="407"/>
      <c r="J140" s="379"/>
      <c r="K140" s="379"/>
    </row>
    <row r="141" spans="1:11">
      <c r="A141" s="412">
        <f>+A128+1</f>
        <v>79</v>
      </c>
      <c r="B141" s="510" t="s">
        <v>614</v>
      </c>
      <c r="C141" s="511" t="str">
        <f>"(Line "&amp;A160&amp;")"</f>
        <v>(Line 93)</v>
      </c>
      <c r="D141" s="512">
        <f>+D160</f>
        <v>0</v>
      </c>
      <c r="E141" s="513"/>
      <c r="F141" s="513"/>
      <c r="G141" s="514"/>
      <c r="H141" s="407"/>
      <c r="I141" s="407"/>
      <c r="J141" s="379"/>
      <c r="K141" s="379"/>
    </row>
    <row r="142" spans="1:11">
      <c r="A142" s="412">
        <f>+A141+1</f>
        <v>80</v>
      </c>
      <c r="B142" s="355" t="s">
        <v>615</v>
      </c>
      <c r="C142" s="356" t="str">
        <f>"(Line "&amp;A15&amp;")"</f>
        <v>(Line 2)</v>
      </c>
      <c r="D142" s="429">
        <f>+D15</f>
        <v>0</v>
      </c>
      <c r="E142" s="379"/>
      <c r="F142" s="379"/>
      <c r="G142" s="377"/>
      <c r="J142" s="379"/>
      <c r="K142" s="379"/>
    </row>
    <row r="143" spans="1:11">
      <c r="A143" s="412">
        <f>+A142+1</f>
        <v>81</v>
      </c>
      <c r="B143" s="355" t="s">
        <v>490</v>
      </c>
      <c r="C143" s="356" t="str">
        <f>"(Line "&amp;A15&amp;")"</f>
        <v>(Line 2)</v>
      </c>
      <c r="D143" s="379">
        <f>+I15</f>
        <v>0</v>
      </c>
      <c r="E143" s="407"/>
      <c r="F143" s="407"/>
      <c r="G143" s="515"/>
      <c r="J143" s="379"/>
      <c r="K143" s="379"/>
    </row>
    <row r="144" spans="1:11">
      <c r="A144" s="412">
        <f>+A143+1</f>
        <v>82</v>
      </c>
      <c r="B144" s="355" t="s">
        <v>500</v>
      </c>
      <c r="C144" s="356" t="str">
        <f>"(Line "&amp;A143&amp;" / Line "&amp;A142&amp;")"</f>
        <v>(Line 81 / Line 80)</v>
      </c>
      <c r="D144" s="516" t="e">
        <f>+D143/D142</f>
        <v>#DIV/0!</v>
      </c>
      <c r="E144" s="379" t="s">
        <v>433</v>
      </c>
      <c r="F144" s="414"/>
      <c r="G144" s="517"/>
      <c r="J144" s="379"/>
      <c r="K144" s="379"/>
    </row>
    <row r="145" spans="1:11">
      <c r="A145" s="412">
        <f>+A144+1</f>
        <v>83</v>
      </c>
      <c r="B145" s="518" t="s">
        <v>354</v>
      </c>
      <c r="C145" s="356" t="str">
        <f>"(Line "&amp;A142&amp;" / Line "&amp;A141&amp;")"</f>
        <v>(Line 80 / Line 79)</v>
      </c>
      <c r="D145" s="519" t="e">
        <f>+D142/D141</f>
        <v>#DIV/0!</v>
      </c>
      <c r="E145" s="379" t="s">
        <v>355</v>
      </c>
      <c r="F145" s="379"/>
      <c r="G145" s="377"/>
      <c r="H145" s="379"/>
      <c r="I145" s="379"/>
      <c r="J145" s="379"/>
      <c r="K145" s="379"/>
    </row>
    <row r="146" spans="1:11">
      <c r="A146" s="412"/>
      <c r="B146" s="518"/>
      <c r="C146" s="379"/>
      <c r="D146" s="519"/>
      <c r="E146" s="379"/>
      <c r="F146" s="379"/>
      <c r="G146" s="377"/>
      <c r="H146" s="379"/>
      <c r="I146" s="379"/>
      <c r="J146" s="379"/>
      <c r="K146" s="379"/>
    </row>
    <row r="147" spans="1:11" ht="15.75">
      <c r="A147" s="412" t="s">
        <v>2</v>
      </c>
      <c r="B147" s="520" t="s">
        <v>152</v>
      </c>
      <c r="C147" s="357"/>
      <c r="D147" s="357"/>
      <c r="E147" s="357"/>
      <c r="F147" s="379"/>
      <c r="G147" s="521"/>
      <c r="H147" s="379"/>
      <c r="I147" s="379"/>
      <c r="J147" s="379"/>
      <c r="K147" s="379"/>
    </row>
    <row r="148" spans="1:11">
      <c r="A148" s="412">
        <f>+A145+1</f>
        <v>84</v>
      </c>
      <c r="B148" s="355" t="s">
        <v>17</v>
      </c>
      <c r="C148" s="357" t="s">
        <v>425</v>
      </c>
      <c r="D148" s="522">
        <v>0</v>
      </c>
      <c r="E148" s="523"/>
      <c r="F148" s="523"/>
      <c r="G148" s="524"/>
      <c r="H148" s="428"/>
      <c r="I148" s="428"/>
      <c r="J148" s="379"/>
      <c r="K148" s="379"/>
    </row>
    <row r="149" spans="1:11">
      <c r="A149" s="412">
        <f>+A148+1</f>
        <v>85</v>
      </c>
      <c r="B149" s="355" t="s">
        <v>29</v>
      </c>
      <c r="C149" s="357" t="s">
        <v>426</v>
      </c>
      <c r="D149" s="522">
        <v>0</v>
      </c>
      <c r="E149" s="525"/>
      <c r="F149" s="523"/>
      <c r="G149" s="524"/>
      <c r="H149" s="428"/>
      <c r="I149" s="428"/>
      <c r="J149" s="379"/>
      <c r="K149" s="379"/>
    </row>
    <row r="150" spans="1:11">
      <c r="A150" s="412">
        <f t="shared" ref="A150:A153" si="12">+A149+1</f>
        <v>86</v>
      </c>
      <c r="B150" s="355" t="s">
        <v>19</v>
      </c>
      <c r="C150" s="357" t="s">
        <v>427</v>
      </c>
      <c r="D150" s="522">
        <v>0</v>
      </c>
      <c r="E150" s="523"/>
      <c r="F150" s="523"/>
      <c r="G150" s="524"/>
      <c r="H150" s="428"/>
      <c r="I150" s="502"/>
      <c r="J150" s="379"/>
      <c r="K150" s="379"/>
    </row>
    <row r="151" spans="1:11">
      <c r="A151" s="412">
        <f t="shared" si="12"/>
        <v>87</v>
      </c>
      <c r="B151" s="355" t="s">
        <v>580</v>
      </c>
      <c r="C151" s="357" t="s">
        <v>428</v>
      </c>
      <c r="D151" s="526">
        <v>0</v>
      </c>
      <c r="E151" s="523"/>
      <c r="F151" s="523"/>
      <c r="G151" s="524"/>
      <c r="H151" s="428"/>
      <c r="I151" s="380"/>
      <c r="J151" s="379"/>
      <c r="K151" s="379"/>
    </row>
    <row r="152" spans="1:11">
      <c r="A152" s="412">
        <f t="shared" si="12"/>
        <v>88</v>
      </c>
      <c r="B152" s="355" t="s">
        <v>358</v>
      </c>
      <c r="C152" s="356" t="str">
        <f>"Sum of Lines "&amp;A148&amp;" through "&amp;A151&amp;""</f>
        <v>Sum of Lines 84 through 87</v>
      </c>
      <c r="D152" s="429">
        <f>SUM(D148:D151)</f>
        <v>0</v>
      </c>
      <c r="E152" s="379"/>
      <c r="F152" s="379"/>
      <c r="G152" s="524"/>
      <c r="H152" s="380"/>
      <c r="I152" s="427"/>
      <c r="J152" s="357"/>
      <c r="K152" s="379"/>
    </row>
    <row r="153" spans="1:11">
      <c r="A153" s="412">
        <f t="shared" si="12"/>
        <v>89</v>
      </c>
      <c r="B153" s="527" t="s">
        <v>89</v>
      </c>
      <c r="C153" s="356" t="str">
        <f>"(Line "&amp;A149&amp;" / Line "&amp;A152&amp;")"</f>
        <v>(Line 85 / Line 88)</v>
      </c>
      <c r="D153" s="365" t="e">
        <f>+D149/D152</f>
        <v>#DIV/0!</v>
      </c>
      <c r="E153" s="379" t="s">
        <v>356</v>
      </c>
      <c r="F153" s="379"/>
      <c r="G153" s="524"/>
      <c r="H153" s="380"/>
      <c r="I153" s="427"/>
      <c r="J153" s="357"/>
      <c r="K153" s="379"/>
    </row>
    <row r="154" spans="1:11">
      <c r="A154" s="412"/>
      <c r="B154" s="355"/>
      <c r="C154" s="379"/>
      <c r="D154" s="365"/>
      <c r="E154" s="379"/>
      <c r="F154" s="379"/>
      <c r="G154" s="524"/>
      <c r="H154" s="380"/>
      <c r="I154" s="427"/>
      <c r="J154" s="357"/>
      <c r="K154" s="379"/>
    </row>
    <row r="155" spans="1:11" ht="29.25" customHeight="1">
      <c r="A155" s="412">
        <f>+A153+1</f>
        <v>90</v>
      </c>
      <c r="B155" s="527" t="s">
        <v>522</v>
      </c>
      <c r="C155" s="356" t="str">
        <f>"(Line "&amp;A149&amp;" * Line "&amp;A144&amp;")"</f>
        <v>(Line 85 * Line 82)</v>
      </c>
      <c r="D155" s="577" t="e">
        <f>+D144*D149</f>
        <v>#DIV/0!</v>
      </c>
      <c r="E155" s="379"/>
      <c r="F155" s="379"/>
      <c r="G155" s="524"/>
      <c r="H155" s="380"/>
      <c r="I155" s="427"/>
      <c r="J155" s="357"/>
      <c r="K155" s="379"/>
    </row>
    <row r="156" spans="1:11">
      <c r="A156" s="412">
        <f>+A155+1</f>
        <v>91</v>
      </c>
      <c r="B156" s="527" t="s">
        <v>429</v>
      </c>
      <c r="C156" s="356" t="str">
        <f>"(Line "&amp;A155&amp;" / Line "&amp;A152&amp;")"</f>
        <v>(Line 90 / Line 88)</v>
      </c>
      <c r="D156" s="363" t="e">
        <f>+D155/D152</f>
        <v>#DIV/0!</v>
      </c>
      <c r="E156" s="379" t="s">
        <v>431</v>
      </c>
      <c r="F156" s="379"/>
      <c r="G156" s="515"/>
      <c r="H156" s="407"/>
      <c r="I156" s="407"/>
      <c r="J156" s="407"/>
      <c r="K156" s="379"/>
    </row>
    <row r="157" spans="1:11" ht="30">
      <c r="A157" s="412">
        <f>+A156+1</f>
        <v>92</v>
      </c>
      <c r="B157" s="527" t="s">
        <v>497</v>
      </c>
      <c r="C157" s="356" t="str">
        <f>"(Line "&amp;A155&amp;" / Line "&amp;A149&amp;")"</f>
        <v>(Line 90 / Line 85)</v>
      </c>
      <c r="D157" s="363" t="e">
        <f>+D155/D149</f>
        <v>#DIV/0!</v>
      </c>
      <c r="E157" s="379" t="s">
        <v>434</v>
      </c>
      <c r="F157" s="379"/>
      <c r="G157" s="515"/>
      <c r="H157" s="407"/>
      <c r="I157" s="407"/>
      <c r="J157" s="407"/>
      <c r="K157" s="379"/>
    </row>
    <row r="158" spans="1:11">
      <c r="A158" s="412"/>
      <c r="B158" s="527"/>
      <c r="C158" s="379"/>
      <c r="D158" s="363"/>
      <c r="E158" s="379"/>
      <c r="F158" s="379"/>
      <c r="G158" s="515"/>
      <c r="H158" s="407"/>
      <c r="I158" s="407"/>
      <c r="J158" s="407"/>
      <c r="K158" s="379"/>
    </row>
    <row r="159" spans="1:11" ht="15.75">
      <c r="A159" s="412"/>
      <c r="B159" s="520" t="s">
        <v>162</v>
      </c>
      <c r="C159" s="379"/>
      <c r="D159" s="357"/>
      <c r="E159" s="379"/>
      <c r="F159" s="379"/>
      <c r="G159" s="521" t="s">
        <v>30</v>
      </c>
      <c r="H159" s="481"/>
      <c r="I159" s="437"/>
      <c r="J159" s="379"/>
      <c r="K159" s="379"/>
    </row>
    <row r="160" spans="1:11">
      <c r="A160" s="412">
        <f>+A157+1</f>
        <v>93</v>
      </c>
      <c r="B160" s="355" t="s">
        <v>31</v>
      </c>
      <c r="C160" s="357" t="s">
        <v>504</v>
      </c>
      <c r="D160" s="522">
        <v>0</v>
      </c>
      <c r="E160" s="379"/>
      <c r="F160" s="407"/>
      <c r="G160" s="528"/>
      <c r="H160" s="481"/>
      <c r="I160" s="412"/>
      <c r="J160" s="379"/>
      <c r="K160" s="412"/>
    </row>
    <row r="161" spans="1:11">
      <c r="A161" s="412">
        <f>+A160+1</f>
        <v>94</v>
      </c>
      <c r="B161" s="355" t="s">
        <v>32</v>
      </c>
      <c r="C161" s="357" t="s">
        <v>505</v>
      </c>
      <c r="D161" s="522">
        <v>0</v>
      </c>
      <c r="E161" s="379"/>
      <c r="F161" s="407" t="s">
        <v>90</v>
      </c>
      <c r="G161" s="529" t="e">
        <f>+D160/D163</f>
        <v>#DIV/0!</v>
      </c>
      <c r="H161" s="357"/>
      <c r="I161" s="530"/>
      <c r="J161" s="481"/>
      <c r="K161" s="493"/>
    </row>
    <row r="162" spans="1:11" ht="28.5">
      <c r="A162" s="412">
        <f>+A161+1</f>
        <v>95</v>
      </c>
      <c r="B162" s="355" t="s">
        <v>340</v>
      </c>
      <c r="C162" s="357" t="s">
        <v>18</v>
      </c>
      <c r="D162" s="526">
        <v>0</v>
      </c>
      <c r="E162" s="379"/>
      <c r="F162" s="356" t="str">
        <f>"(Line "&amp;A160&amp;" / Line "&amp;A163&amp;")"</f>
        <v>(Line 93 / Line 96)</v>
      </c>
      <c r="G162" s="529"/>
      <c r="H162" s="357"/>
      <c r="I162" s="530"/>
      <c r="J162" s="481"/>
      <c r="K162" s="493"/>
    </row>
    <row r="163" spans="1:11" ht="15.75" thickBot="1">
      <c r="A163" s="412">
        <f>+A162+1</f>
        <v>96</v>
      </c>
      <c r="B163" s="367" t="s">
        <v>358</v>
      </c>
      <c r="C163" s="383" t="str">
        <f>"Sum of Lines "&amp;A160&amp;" through "&amp;A162&amp;""</f>
        <v>Sum of Lines 93 through 95</v>
      </c>
      <c r="D163" s="433">
        <f>+SUM(D160:D162)</f>
        <v>0</v>
      </c>
      <c r="E163" s="531"/>
      <c r="F163" s="531"/>
      <c r="G163" s="532"/>
      <c r="H163" s="379"/>
      <c r="I163" s="379"/>
      <c r="J163" s="379"/>
      <c r="K163" s="379"/>
    </row>
    <row r="164" spans="1:11" ht="15" customHeight="1">
      <c r="A164" s="412"/>
      <c r="B164" s="408"/>
      <c r="C164" s="379"/>
      <c r="D164" s="429"/>
      <c r="E164" s="379"/>
      <c r="F164" s="379"/>
      <c r="G164" s="379"/>
      <c r="H164" s="379"/>
      <c r="I164" s="379"/>
      <c r="J164" s="379"/>
      <c r="K164" s="379"/>
    </row>
    <row r="165" spans="1:11" ht="16.5" thickBot="1">
      <c r="A165" s="412"/>
      <c r="B165" s="460" t="s">
        <v>33</v>
      </c>
      <c r="C165" s="408"/>
      <c r="D165" s="408"/>
      <c r="E165" s="408"/>
      <c r="F165" s="408"/>
      <c r="G165" s="408"/>
      <c r="H165" s="408"/>
      <c r="I165" s="408"/>
      <c r="J165" s="408"/>
      <c r="K165" s="408"/>
    </row>
    <row r="166" spans="1:11">
      <c r="A166" s="412">
        <f>+A163+1</f>
        <v>97</v>
      </c>
      <c r="B166" s="533" t="s">
        <v>163</v>
      </c>
      <c r="C166" s="534" t="s">
        <v>116</v>
      </c>
      <c r="D166" s="535">
        <v>0</v>
      </c>
      <c r="E166" s="408"/>
      <c r="F166" s="408"/>
      <c r="G166" s="536"/>
      <c r="H166" s="408"/>
      <c r="J166" s="407"/>
      <c r="K166" s="537"/>
    </row>
    <row r="167" spans="1:11" ht="11.25" customHeight="1">
      <c r="A167" s="412"/>
      <c r="B167" s="539"/>
      <c r="C167" s="412"/>
      <c r="D167" s="540"/>
      <c r="E167" s="408"/>
      <c r="F167" s="408"/>
      <c r="G167" s="408"/>
      <c r="H167" s="408"/>
      <c r="J167" s="407"/>
      <c r="K167" s="537"/>
    </row>
    <row r="168" spans="1:11" ht="33" customHeight="1">
      <c r="A168" s="412">
        <f>+A166+1</f>
        <v>98</v>
      </c>
      <c r="B168" s="541" t="s">
        <v>164</v>
      </c>
      <c r="C168" s="448" t="s">
        <v>116</v>
      </c>
      <c r="D168" s="564">
        <v>0</v>
      </c>
      <c r="E168" s="408"/>
      <c r="F168" s="408"/>
      <c r="G168" s="408"/>
      <c r="H168" s="408"/>
      <c r="J168" s="407"/>
      <c r="K168" s="537"/>
    </row>
    <row r="169" spans="1:11" ht="11.25" customHeight="1">
      <c r="A169" s="412"/>
      <c r="B169" s="539"/>
      <c r="C169" s="408"/>
      <c r="D169" s="540"/>
      <c r="E169" s="408"/>
      <c r="F169" s="408"/>
      <c r="G169" s="408"/>
      <c r="H169" s="408"/>
      <c r="J169" s="407"/>
      <c r="K169" s="537"/>
    </row>
    <row r="170" spans="1:11" ht="24" customHeight="1" thickBot="1">
      <c r="A170" s="412">
        <f>+A168+1</f>
        <v>99</v>
      </c>
      <c r="B170" s="542" t="s">
        <v>153</v>
      </c>
      <c r="C170" s="543"/>
      <c r="D170" s="544">
        <f>+D166+D168</f>
        <v>0</v>
      </c>
      <c r="E170" s="408"/>
      <c r="F170" s="408"/>
      <c r="G170" s="408"/>
      <c r="H170" s="408"/>
      <c r="J170" s="407"/>
      <c r="K170" s="537"/>
    </row>
    <row r="171" spans="1:11">
      <c r="A171" s="412"/>
      <c r="B171" s="407"/>
      <c r="C171" s="412"/>
      <c r="D171" s="379"/>
      <c r="E171" s="379"/>
      <c r="F171" s="379"/>
      <c r="G171" s="379"/>
      <c r="H171" s="408"/>
      <c r="I171" s="545"/>
      <c r="J171" s="379"/>
      <c r="K171" s="379"/>
    </row>
    <row r="172" spans="1:11">
      <c r="A172" s="408" t="s">
        <v>349</v>
      </c>
      <c r="C172" s="412"/>
      <c r="D172" s="379"/>
      <c r="E172" s="379"/>
      <c r="F172" s="379"/>
      <c r="G172" s="379"/>
      <c r="H172" s="408"/>
      <c r="I172" s="379"/>
      <c r="J172" s="408"/>
      <c r="K172" s="379"/>
    </row>
    <row r="173" spans="1:11">
      <c r="A173" s="546" t="s">
        <v>34</v>
      </c>
      <c r="C173" s="412"/>
      <c r="D173" s="379"/>
      <c r="E173" s="379"/>
      <c r="F173" s="379"/>
      <c r="G173" s="379"/>
      <c r="H173" s="408"/>
      <c r="I173" s="379"/>
      <c r="J173" s="408"/>
      <c r="K173" s="379"/>
    </row>
    <row r="174" spans="1:11">
      <c r="A174" s="546"/>
      <c r="C174" s="412"/>
      <c r="D174" s="379"/>
      <c r="E174" s="379"/>
      <c r="F174" s="379"/>
      <c r="G174" s="379"/>
      <c r="H174" s="408"/>
      <c r="I174" s="379"/>
      <c r="J174" s="408"/>
      <c r="K174" s="379"/>
    </row>
    <row r="175" spans="1:11" ht="15.75" thickBot="1">
      <c r="A175" s="412" t="s">
        <v>537</v>
      </c>
      <c r="B175" s="408"/>
      <c r="C175" s="408"/>
      <c r="D175" s="379"/>
      <c r="E175" s="379"/>
      <c r="F175" s="379"/>
      <c r="G175" s="379"/>
      <c r="H175" s="408"/>
      <c r="I175" s="379"/>
      <c r="J175" s="408"/>
      <c r="K175" s="379"/>
    </row>
    <row r="176" spans="1:11" ht="36.75" customHeight="1">
      <c r="A176" s="603" t="s">
        <v>35</v>
      </c>
      <c r="B176" s="644" t="s">
        <v>616</v>
      </c>
      <c r="C176" s="645"/>
      <c r="D176" s="645"/>
      <c r="E176" s="645"/>
      <c r="F176" s="645"/>
      <c r="G176" s="645"/>
      <c r="H176" s="645"/>
      <c r="I176" s="645"/>
      <c r="J176" s="645"/>
      <c r="K176" s="646"/>
    </row>
    <row r="177" spans="1:11" s="547" customFormat="1" ht="27" customHeight="1">
      <c r="A177" s="604" t="s">
        <v>36</v>
      </c>
      <c r="B177" s="641" t="s">
        <v>348</v>
      </c>
      <c r="C177" s="642"/>
      <c r="D177" s="642"/>
      <c r="E177" s="642"/>
      <c r="F177" s="642"/>
      <c r="G177" s="642"/>
      <c r="H177" s="642"/>
      <c r="I177" s="642"/>
      <c r="J177" s="642"/>
      <c r="K177" s="643"/>
    </row>
    <row r="178" spans="1:11" s="547" customFormat="1" ht="32.25" customHeight="1">
      <c r="A178" s="604" t="s">
        <v>37</v>
      </c>
      <c r="B178" s="641" t="s">
        <v>575</v>
      </c>
      <c r="C178" s="642"/>
      <c r="D178" s="642"/>
      <c r="E178" s="642"/>
      <c r="F178" s="642"/>
      <c r="G178" s="642"/>
      <c r="H178" s="642"/>
      <c r="I178" s="642"/>
      <c r="J178" s="642"/>
      <c r="K178" s="643"/>
    </row>
    <row r="179" spans="1:11" s="547" customFormat="1" ht="20.25" customHeight="1">
      <c r="A179" s="604" t="s">
        <v>155</v>
      </c>
      <c r="B179" s="641" t="s">
        <v>156</v>
      </c>
      <c r="C179" s="642"/>
      <c r="D179" s="642"/>
      <c r="E179" s="642"/>
      <c r="F179" s="642"/>
      <c r="G179" s="642"/>
      <c r="H179" s="642"/>
      <c r="I179" s="642"/>
      <c r="J179" s="642"/>
      <c r="K179" s="643"/>
    </row>
    <row r="180" spans="1:11" s="547" customFormat="1" ht="21.75" customHeight="1">
      <c r="A180" s="604" t="s">
        <v>38</v>
      </c>
      <c r="B180" s="647" t="s">
        <v>658</v>
      </c>
      <c r="C180" s="648"/>
      <c r="D180" s="648"/>
      <c r="E180" s="648"/>
      <c r="F180" s="648"/>
      <c r="G180" s="648"/>
      <c r="H180" s="648"/>
      <c r="I180" s="648"/>
      <c r="J180" s="648"/>
      <c r="K180" s="649"/>
    </row>
    <row r="181" spans="1:11" s="547" customFormat="1" ht="84" customHeight="1">
      <c r="A181" s="604" t="s">
        <v>39</v>
      </c>
      <c r="B181" s="641" t="s">
        <v>396</v>
      </c>
      <c r="C181" s="642"/>
      <c r="D181" s="642"/>
      <c r="E181" s="642"/>
      <c r="F181" s="642"/>
      <c r="G181" s="642"/>
      <c r="H181" s="642"/>
      <c r="I181" s="642"/>
      <c r="J181" s="642"/>
      <c r="K181" s="643"/>
    </row>
    <row r="182" spans="1:11">
      <c r="A182" s="412" t="s">
        <v>2</v>
      </c>
      <c r="B182" s="355" t="s">
        <v>44</v>
      </c>
      <c r="C182" s="408" t="s">
        <v>45</v>
      </c>
      <c r="D182" s="619">
        <v>0</v>
      </c>
      <c r="E182" s="408"/>
      <c r="F182" s="408"/>
      <c r="G182" s="408"/>
      <c r="H182" s="408"/>
      <c r="I182" s="408"/>
      <c r="J182" s="408"/>
      <c r="K182" s="548"/>
    </row>
    <row r="183" spans="1:11">
      <c r="A183" s="412"/>
      <c r="B183" s="355"/>
      <c r="C183" s="408" t="s">
        <v>46</v>
      </c>
      <c r="D183" s="619">
        <v>0</v>
      </c>
      <c r="E183" s="408" t="s">
        <v>47</v>
      </c>
      <c r="F183" s="408"/>
      <c r="G183" s="408"/>
      <c r="H183" s="408"/>
      <c r="I183" s="408"/>
      <c r="J183" s="408"/>
      <c r="K183" s="548"/>
    </row>
    <row r="184" spans="1:11">
      <c r="A184" s="412"/>
      <c r="B184" s="355"/>
      <c r="C184" s="408" t="s">
        <v>48</v>
      </c>
      <c r="D184" s="619">
        <v>0</v>
      </c>
      <c r="E184" s="408" t="s">
        <v>49</v>
      </c>
      <c r="F184" s="408"/>
      <c r="G184" s="408"/>
      <c r="H184" s="408"/>
      <c r="I184" s="408"/>
      <c r="J184" s="408"/>
      <c r="K184" s="548"/>
    </row>
    <row r="185" spans="1:11">
      <c r="A185" s="380" t="s">
        <v>40</v>
      </c>
      <c r="B185" s="518" t="s">
        <v>326</v>
      </c>
      <c r="H185" s="408"/>
      <c r="I185" s="545"/>
      <c r="J185" s="379"/>
      <c r="K185" s="377"/>
    </row>
    <row r="186" spans="1:11" ht="51" customHeight="1">
      <c r="A186" s="604" t="s">
        <v>41</v>
      </c>
      <c r="B186" s="641" t="s">
        <v>327</v>
      </c>
      <c r="C186" s="642"/>
      <c r="D186" s="642"/>
      <c r="E186" s="642"/>
      <c r="F186" s="642"/>
      <c r="G186" s="642"/>
      <c r="H186" s="642"/>
      <c r="I186" s="642"/>
      <c r="J186" s="642"/>
      <c r="K186" s="643"/>
    </row>
    <row r="187" spans="1:11" ht="15" customHeight="1">
      <c r="A187" s="604" t="s">
        <v>42</v>
      </c>
      <c r="B187" s="641" t="s">
        <v>551</v>
      </c>
      <c r="C187" s="642"/>
      <c r="D187" s="642"/>
      <c r="E187" s="642"/>
      <c r="F187" s="642"/>
      <c r="G187" s="642"/>
      <c r="H187" s="642"/>
      <c r="I187" s="642"/>
      <c r="J187" s="642"/>
      <c r="K187" s="643"/>
    </row>
    <row r="188" spans="1:11">
      <c r="A188" s="380" t="s">
        <v>43</v>
      </c>
      <c r="B188" s="641" t="s">
        <v>552</v>
      </c>
      <c r="C188" s="642"/>
      <c r="D188" s="642"/>
      <c r="E188" s="642"/>
      <c r="F188" s="642"/>
      <c r="G188" s="642"/>
      <c r="H188" s="642"/>
      <c r="I188" s="642"/>
      <c r="J188" s="642"/>
      <c r="K188" s="643"/>
    </row>
    <row r="189" spans="1:11">
      <c r="A189" s="380" t="s">
        <v>167</v>
      </c>
      <c r="B189" s="518" t="s">
        <v>361</v>
      </c>
      <c r="H189" s="408"/>
      <c r="I189" s="545"/>
      <c r="J189" s="379"/>
      <c r="K189" s="377"/>
    </row>
    <row r="190" spans="1:11">
      <c r="A190" s="380"/>
      <c r="B190" s="574" t="s">
        <v>90</v>
      </c>
      <c r="C190" s="651" t="s">
        <v>566</v>
      </c>
      <c r="D190" s="651"/>
      <c r="E190" s="651"/>
      <c r="F190" s="651"/>
      <c r="G190" s="651"/>
      <c r="H190" s="651"/>
      <c r="I190" s="651"/>
      <c r="J190" s="651"/>
      <c r="K190" s="652"/>
    </row>
    <row r="191" spans="1:11">
      <c r="B191" s="574" t="s">
        <v>360</v>
      </c>
      <c r="C191" s="651" t="s">
        <v>565</v>
      </c>
      <c r="D191" s="651"/>
      <c r="E191" s="651"/>
      <c r="F191" s="651"/>
      <c r="G191" s="651"/>
      <c r="H191" s="651"/>
      <c r="I191" s="651"/>
      <c r="J191" s="651"/>
      <c r="K191" s="652"/>
    </row>
    <row r="192" spans="1:11">
      <c r="B192" s="574" t="s">
        <v>21</v>
      </c>
      <c r="C192" s="651" t="s">
        <v>567</v>
      </c>
      <c r="D192" s="651"/>
      <c r="E192" s="651"/>
      <c r="F192" s="651"/>
      <c r="G192" s="651"/>
      <c r="H192" s="651"/>
      <c r="I192" s="651"/>
      <c r="J192" s="651"/>
      <c r="K192" s="652"/>
    </row>
    <row r="193" spans="1:11">
      <c r="B193" s="574" t="s">
        <v>352</v>
      </c>
      <c r="C193" s="651" t="s">
        <v>568</v>
      </c>
      <c r="D193" s="651"/>
      <c r="E193" s="651"/>
      <c r="F193" s="651"/>
      <c r="G193" s="651"/>
      <c r="H193" s="651"/>
      <c r="I193" s="651"/>
      <c r="J193" s="651"/>
      <c r="K193" s="652"/>
    </row>
    <row r="194" spans="1:11">
      <c r="B194" s="574" t="s">
        <v>430</v>
      </c>
      <c r="C194" s="651" t="s">
        <v>553</v>
      </c>
      <c r="D194" s="651"/>
      <c r="E194" s="651"/>
      <c r="F194" s="651"/>
      <c r="G194" s="651"/>
      <c r="H194" s="651"/>
      <c r="I194" s="651"/>
      <c r="J194" s="651"/>
      <c r="K194" s="652"/>
    </row>
    <row r="195" spans="1:11">
      <c r="B195" s="574" t="s">
        <v>435</v>
      </c>
      <c r="C195" s="651" t="s">
        <v>554</v>
      </c>
      <c r="D195" s="651"/>
      <c r="E195" s="651"/>
      <c r="F195" s="651"/>
      <c r="G195" s="651"/>
      <c r="H195" s="651"/>
      <c r="I195" s="651"/>
      <c r="J195" s="651"/>
      <c r="K195" s="652"/>
    </row>
    <row r="196" spans="1:11" ht="28.9" customHeight="1">
      <c r="B196" s="574" t="s">
        <v>436</v>
      </c>
      <c r="C196" s="653" t="s">
        <v>555</v>
      </c>
      <c r="D196" s="653"/>
      <c r="E196" s="653"/>
      <c r="F196" s="653"/>
      <c r="G196" s="653"/>
      <c r="H196" s="653"/>
      <c r="I196" s="653"/>
      <c r="J196" s="653"/>
      <c r="K196" s="654"/>
    </row>
    <row r="197" spans="1:11">
      <c r="B197" s="574" t="s">
        <v>359</v>
      </c>
      <c r="C197" s="651" t="s">
        <v>569</v>
      </c>
      <c r="D197" s="651"/>
      <c r="E197" s="651"/>
      <c r="F197" s="651"/>
      <c r="G197" s="651"/>
      <c r="H197" s="651"/>
      <c r="I197" s="651"/>
      <c r="J197" s="651"/>
      <c r="K197" s="652"/>
    </row>
    <row r="198" spans="1:11">
      <c r="B198" s="574" t="s">
        <v>362</v>
      </c>
      <c r="C198" s="651" t="s">
        <v>365</v>
      </c>
      <c r="D198" s="651"/>
      <c r="E198" s="651"/>
      <c r="F198" s="651"/>
      <c r="G198" s="651"/>
      <c r="H198" s="651"/>
      <c r="I198" s="651"/>
      <c r="J198" s="651"/>
      <c r="K198" s="652"/>
    </row>
    <row r="199" spans="1:11">
      <c r="B199" s="574" t="s">
        <v>363</v>
      </c>
      <c r="C199" s="651" t="s">
        <v>364</v>
      </c>
      <c r="D199" s="651"/>
      <c r="E199" s="651"/>
      <c r="F199" s="651"/>
      <c r="G199" s="651"/>
      <c r="H199" s="651"/>
      <c r="I199" s="651"/>
      <c r="J199" s="651"/>
      <c r="K199" s="652"/>
    </row>
    <row r="200" spans="1:11">
      <c r="A200" s="380" t="s">
        <v>473</v>
      </c>
      <c r="B200" s="575" t="s">
        <v>577</v>
      </c>
      <c r="K200" s="549"/>
    </row>
    <row r="201" spans="1:11">
      <c r="A201" s="380" t="s">
        <v>513</v>
      </c>
      <c r="B201" s="518" t="s">
        <v>578</v>
      </c>
      <c r="K201" s="549"/>
    </row>
    <row r="202" spans="1:11">
      <c r="A202" s="380" t="s">
        <v>517</v>
      </c>
      <c r="B202" s="518" t="s">
        <v>556</v>
      </c>
      <c r="K202" s="549"/>
    </row>
    <row r="203" spans="1:11">
      <c r="B203" s="518"/>
      <c r="C203" s="360" t="s">
        <v>518</v>
      </c>
      <c r="D203" s="561">
        <v>0</v>
      </c>
      <c r="K203" s="549"/>
    </row>
    <row r="204" spans="1:11">
      <c r="B204" s="518"/>
      <c r="C204" s="360" t="s">
        <v>519</v>
      </c>
      <c r="D204" s="562">
        <v>0</v>
      </c>
      <c r="K204" s="549"/>
    </row>
    <row r="205" spans="1:11">
      <c r="B205" s="518"/>
      <c r="C205" s="360" t="s">
        <v>520</v>
      </c>
      <c r="D205" s="602">
        <f>+D203*D204</f>
        <v>0</v>
      </c>
      <c r="K205" s="549"/>
    </row>
    <row r="206" spans="1:11">
      <c r="A206" s="380" t="s">
        <v>617</v>
      </c>
      <c r="B206" s="518" t="s">
        <v>660</v>
      </c>
      <c r="K206" s="549"/>
    </row>
    <row r="207" spans="1:11" ht="15.75" thickBot="1">
      <c r="A207" s="380" t="s">
        <v>247</v>
      </c>
      <c r="B207" s="620" t="s">
        <v>643</v>
      </c>
      <c r="C207" s="372"/>
      <c r="D207" s="372"/>
      <c r="E207" s="372"/>
      <c r="F207" s="372"/>
      <c r="G207" s="372"/>
      <c r="H207" s="372"/>
      <c r="I207" s="372"/>
      <c r="J207" s="372"/>
      <c r="K207" s="373"/>
    </row>
  </sheetData>
  <sheetProtection formatCells="0" formatColumns="0"/>
  <mergeCells count="27">
    <mergeCell ref="A135:G135"/>
    <mergeCell ref="C195:K195"/>
    <mergeCell ref="C196:K196"/>
    <mergeCell ref="C197:K197"/>
    <mergeCell ref="C198:K198"/>
    <mergeCell ref="C199:K199"/>
    <mergeCell ref="C190:K190"/>
    <mergeCell ref="C191:K191"/>
    <mergeCell ref="C192:K192"/>
    <mergeCell ref="C193:K193"/>
    <mergeCell ref="C194:K194"/>
    <mergeCell ref="F12:G12"/>
    <mergeCell ref="F66:G66"/>
    <mergeCell ref="A7:I7"/>
    <mergeCell ref="A6:I6"/>
    <mergeCell ref="B188:K188"/>
    <mergeCell ref="B187:K187"/>
    <mergeCell ref="B186:K186"/>
    <mergeCell ref="B179:K179"/>
    <mergeCell ref="B181:K181"/>
    <mergeCell ref="B177:K177"/>
    <mergeCell ref="B176:K176"/>
    <mergeCell ref="B178:K178"/>
    <mergeCell ref="B180:K180"/>
    <mergeCell ref="A62:I62"/>
    <mergeCell ref="A61:I61"/>
    <mergeCell ref="A136:G136"/>
  </mergeCells>
  <pageMargins left="0.5" right="0.5" top="0.75" bottom="0.75" header="0.5" footer="0.5"/>
  <pageSetup scale="46" fitToHeight="0" orientation="portrait" r:id="rId1"/>
  <headerFooter alignWithMargins="0"/>
  <rowBreaks count="2" manualBreakCount="2">
    <brk id="56" max="10" man="1"/>
    <brk id="12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P68"/>
  <sheetViews>
    <sheetView zoomScale="90" zoomScaleNormal="90" zoomScaleSheetLayoutView="70" zoomScalePageLayoutView="60" workbookViewId="0">
      <selection activeCell="C10" sqref="C10"/>
    </sheetView>
  </sheetViews>
  <sheetFormatPr defaultColWidth="11.42578125" defaultRowHeight="12.75"/>
  <cols>
    <col min="1" max="1" width="5" style="2" customWidth="1"/>
    <col min="2" max="2" width="21.5703125" style="2" customWidth="1"/>
    <col min="3" max="16" width="23.5703125" style="2" customWidth="1"/>
    <col min="17" max="16384" width="11.42578125" style="2"/>
  </cols>
  <sheetData>
    <row r="1" spans="1:16" s="15" customFormat="1" ht="15">
      <c r="B1" s="18"/>
      <c r="C1" s="16"/>
      <c r="D1" s="16"/>
      <c r="E1" s="16"/>
      <c r="F1" s="16"/>
      <c r="G1" s="18"/>
      <c r="H1" s="18"/>
      <c r="I1" s="18"/>
      <c r="J1" s="18"/>
      <c r="K1" s="18"/>
      <c r="L1" s="18"/>
      <c r="M1" s="18"/>
      <c r="N1" s="18"/>
      <c r="O1" s="18"/>
      <c r="P1" s="19"/>
    </row>
    <row r="2" spans="1:16" ht="18">
      <c r="B2" s="657" t="str">
        <f>+'Appendix A'!A6</f>
        <v>Central Hudson Gas and Electric Corporation</v>
      </c>
      <c r="C2" s="657"/>
      <c r="D2" s="657"/>
      <c r="E2" s="657"/>
      <c r="F2" s="657"/>
      <c r="G2" s="657"/>
      <c r="H2" s="657"/>
      <c r="I2" s="657"/>
      <c r="J2" s="657"/>
      <c r="K2" s="657"/>
      <c r="L2" s="657"/>
      <c r="M2" s="657"/>
      <c r="N2" s="657"/>
      <c r="O2" s="657"/>
      <c r="P2" s="567"/>
    </row>
    <row r="3" spans="1:16" ht="18">
      <c r="B3" s="660" t="s">
        <v>618</v>
      </c>
      <c r="C3" s="660"/>
      <c r="D3" s="660"/>
      <c r="E3" s="660"/>
      <c r="F3" s="660"/>
      <c r="G3" s="660"/>
      <c r="H3" s="660"/>
      <c r="I3" s="660"/>
      <c r="J3" s="660"/>
      <c r="K3" s="660"/>
      <c r="L3" s="660"/>
      <c r="M3" s="660"/>
      <c r="N3" s="660"/>
      <c r="O3" s="660"/>
      <c r="P3" s="568"/>
    </row>
    <row r="4" spans="1:16" ht="18">
      <c r="B4" s="659" t="str">
        <f>+'Appendix A'!H3</f>
        <v>Projected ATRR or Actual ATRR for the 12 Months Ended 12/31/XXXX</v>
      </c>
      <c r="C4" s="659"/>
      <c r="D4" s="659"/>
      <c r="E4" s="659"/>
      <c r="F4" s="659"/>
      <c r="G4" s="659"/>
      <c r="H4" s="659"/>
      <c r="I4" s="659"/>
      <c r="J4" s="659"/>
      <c r="K4" s="659"/>
      <c r="L4" s="659"/>
      <c r="M4" s="659"/>
      <c r="N4" s="659"/>
      <c r="O4" s="659"/>
      <c r="P4" s="568"/>
    </row>
    <row r="5" spans="1:16">
      <c r="B5" s="5"/>
      <c r="C5" s="5"/>
      <c r="D5" s="5"/>
      <c r="E5" s="5"/>
      <c r="F5" s="5"/>
      <c r="G5" s="5"/>
      <c r="H5" s="5"/>
      <c r="I5" s="5"/>
      <c r="J5" s="5"/>
      <c r="K5" s="5"/>
      <c r="L5" s="5"/>
      <c r="M5" s="5"/>
      <c r="N5" s="5"/>
      <c r="O5" s="5"/>
      <c r="P5" s="5"/>
    </row>
    <row r="6" spans="1:16">
      <c r="B6" s="20"/>
      <c r="C6" s="655" t="s">
        <v>377</v>
      </c>
      <c r="D6" s="655"/>
      <c r="E6" s="655"/>
      <c r="F6" s="655"/>
      <c r="G6" s="655"/>
      <c r="H6" s="655"/>
      <c r="I6" s="655"/>
      <c r="J6" s="655"/>
      <c r="K6" s="655"/>
      <c r="L6" s="655"/>
      <c r="M6" s="655"/>
      <c r="N6" s="655"/>
      <c r="O6" s="295"/>
      <c r="P6" s="20"/>
    </row>
    <row r="7" spans="1:16" ht="25.5" customHeight="1">
      <c r="B7" s="3" t="s">
        <v>68</v>
      </c>
      <c r="C7" s="3" t="s">
        <v>69</v>
      </c>
      <c r="D7" s="3" t="s">
        <v>70</v>
      </c>
      <c r="E7" s="3" t="s">
        <v>71</v>
      </c>
      <c r="F7" s="3" t="s">
        <v>72</v>
      </c>
      <c r="G7" s="3" t="s">
        <v>73</v>
      </c>
      <c r="H7" s="3" t="s">
        <v>74</v>
      </c>
      <c r="I7" s="3" t="s">
        <v>75</v>
      </c>
      <c r="J7" s="3" t="s">
        <v>92</v>
      </c>
      <c r="K7" s="3" t="s">
        <v>93</v>
      </c>
      <c r="L7" s="3" t="s">
        <v>97</v>
      </c>
      <c r="M7" s="3" t="s">
        <v>120</v>
      </c>
      <c r="N7" s="3" t="s">
        <v>193</v>
      </c>
      <c r="O7" s="3"/>
    </row>
    <row r="8" spans="1:16" ht="25.5" customHeight="1">
      <c r="B8" s="3"/>
      <c r="C8" s="3"/>
      <c r="D8" s="3"/>
      <c r="E8" s="3"/>
      <c r="F8" s="3"/>
      <c r="G8" s="3"/>
      <c r="H8" s="3"/>
      <c r="I8" s="656" t="s">
        <v>490</v>
      </c>
      <c r="J8" s="656"/>
      <c r="K8" s="656"/>
      <c r="L8" s="656"/>
      <c r="M8" s="656"/>
      <c r="N8" s="656"/>
      <c r="O8" s="3"/>
    </row>
    <row r="9" spans="1:16" s="5" customFormat="1">
      <c r="B9" s="3" t="s">
        <v>50</v>
      </c>
      <c r="C9" s="4" t="s">
        <v>474</v>
      </c>
      <c r="D9" s="4" t="s">
        <v>66</v>
      </c>
      <c r="E9" s="3" t="s">
        <v>15</v>
      </c>
      <c r="F9" s="4" t="s">
        <v>77</v>
      </c>
      <c r="G9" s="4" t="s">
        <v>479</v>
      </c>
      <c r="H9" s="3" t="s">
        <v>78</v>
      </c>
      <c r="I9" s="291" t="s">
        <v>367</v>
      </c>
      <c r="J9" s="291" t="s">
        <v>372</v>
      </c>
      <c r="K9" s="291" t="s">
        <v>373</v>
      </c>
      <c r="L9" s="291" t="s">
        <v>374</v>
      </c>
      <c r="M9" s="291"/>
      <c r="N9" s="4" t="s">
        <v>9</v>
      </c>
    </row>
    <row r="10" spans="1:16" s="5" customFormat="1" ht="25.5">
      <c r="B10" s="29" t="s">
        <v>67</v>
      </c>
      <c r="C10" s="4" t="s">
        <v>475</v>
      </c>
      <c r="D10" s="4" t="s">
        <v>506</v>
      </c>
      <c r="E10" s="4" t="s">
        <v>476</v>
      </c>
      <c r="F10" s="4" t="s">
        <v>477</v>
      </c>
      <c r="G10" s="4" t="s">
        <v>478</v>
      </c>
      <c r="H10" s="3" t="s">
        <v>606</v>
      </c>
      <c r="I10" s="4" t="s">
        <v>476</v>
      </c>
      <c r="J10" s="4" t="s">
        <v>476</v>
      </c>
      <c r="K10" s="4" t="s">
        <v>476</v>
      </c>
      <c r="L10" s="4" t="s">
        <v>476</v>
      </c>
      <c r="M10" s="4" t="s">
        <v>476</v>
      </c>
      <c r="N10" s="39" t="str">
        <f>"Sum of Columns "&amp;I7&amp;" through "&amp;M7&amp;""</f>
        <v>Sum of Columns (h) through (l)</v>
      </c>
    </row>
    <row r="11" spans="1:16" s="6" customFormat="1">
      <c r="B11" s="21" t="s">
        <v>501</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6" s="5" customFormat="1">
      <c r="A12" s="30">
        <v>1</v>
      </c>
      <c r="B12" s="578" t="s">
        <v>64</v>
      </c>
      <c r="C12" s="34">
        <v>0</v>
      </c>
      <c r="D12" s="35">
        <v>0</v>
      </c>
      <c r="E12" s="34">
        <v>0</v>
      </c>
      <c r="F12" s="34">
        <v>0</v>
      </c>
      <c r="G12" s="34">
        <v>0</v>
      </c>
      <c r="H12" s="36">
        <v>0</v>
      </c>
      <c r="I12" s="36">
        <v>0</v>
      </c>
      <c r="J12" s="36">
        <v>0</v>
      </c>
      <c r="K12" s="36">
        <v>0</v>
      </c>
      <c r="L12" s="36">
        <v>0</v>
      </c>
      <c r="M12" s="36"/>
      <c r="N12" s="293">
        <f>+SUM(I12:M12)</f>
        <v>0</v>
      </c>
    </row>
    <row r="13" spans="1:16">
      <c r="A13" s="6">
        <f>+A12+1</f>
        <v>2</v>
      </c>
      <c r="B13" s="578" t="s">
        <v>65</v>
      </c>
      <c r="C13" s="34">
        <v>0</v>
      </c>
      <c r="D13" s="35">
        <v>0</v>
      </c>
      <c r="E13" s="34">
        <v>0</v>
      </c>
      <c r="F13" s="34">
        <v>0</v>
      </c>
      <c r="G13" s="34">
        <v>0</v>
      </c>
      <c r="H13" s="36">
        <v>0</v>
      </c>
      <c r="I13" s="36">
        <v>0</v>
      </c>
      <c r="J13" s="36">
        <v>0</v>
      </c>
      <c r="K13" s="36">
        <v>0</v>
      </c>
      <c r="L13" s="36">
        <v>0</v>
      </c>
      <c r="M13" s="36"/>
      <c r="N13" s="293">
        <f t="shared" ref="N13:N25" si="0">+SUM(I13:M13)</f>
        <v>0</v>
      </c>
    </row>
    <row r="14" spans="1:16">
      <c r="A14" s="6">
        <f t="shared" ref="A14:A25" si="1">+A13+1</f>
        <v>3</v>
      </c>
      <c r="B14" s="20" t="s">
        <v>52</v>
      </c>
      <c r="C14" s="34">
        <v>0</v>
      </c>
      <c r="D14" s="35">
        <v>0</v>
      </c>
      <c r="E14" s="34">
        <v>0</v>
      </c>
      <c r="F14" s="34">
        <v>0</v>
      </c>
      <c r="G14" s="34">
        <v>0</v>
      </c>
      <c r="H14" s="36">
        <v>0</v>
      </c>
      <c r="I14" s="36">
        <v>0</v>
      </c>
      <c r="J14" s="36">
        <v>0</v>
      </c>
      <c r="K14" s="36">
        <v>0</v>
      </c>
      <c r="L14" s="36">
        <v>0</v>
      </c>
      <c r="M14" s="36"/>
      <c r="N14" s="293">
        <f t="shared" si="0"/>
        <v>0</v>
      </c>
    </row>
    <row r="15" spans="1:16">
      <c r="A15" s="6">
        <f t="shared" si="1"/>
        <v>4</v>
      </c>
      <c r="B15" s="20" t="s">
        <v>53</v>
      </c>
      <c r="C15" s="34">
        <v>0</v>
      </c>
      <c r="D15" s="35">
        <v>0</v>
      </c>
      <c r="E15" s="34">
        <v>0</v>
      </c>
      <c r="F15" s="34">
        <v>0</v>
      </c>
      <c r="G15" s="34">
        <v>0</v>
      </c>
      <c r="H15" s="36">
        <v>0</v>
      </c>
      <c r="I15" s="36">
        <v>0</v>
      </c>
      <c r="J15" s="36">
        <v>0</v>
      </c>
      <c r="K15" s="36">
        <v>0</v>
      </c>
      <c r="L15" s="36">
        <v>0</v>
      </c>
      <c r="M15" s="36"/>
      <c r="N15" s="293">
        <f t="shared" si="0"/>
        <v>0</v>
      </c>
    </row>
    <row r="16" spans="1:16">
      <c r="A16" s="6">
        <f t="shared" si="1"/>
        <v>5</v>
      </c>
      <c r="B16" s="20" t="s">
        <v>54</v>
      </c>
      <c r="C16" s="34">
        <v>0</v>
      </c>
      <c r="D16" s="35">
        <v>0</v>
      </c>
      <c r="E16" s="34">
        <v>0</v>
      </c>
      <c r="F16" s="34">
        <v>0</v>
      </c>
      <c r="G16" s="34">
        <v>0</v>
      </c>
      <c r="H16" s="36">
        <v>0</v>
      </c>
      <c r="I16" s="36">
        <v>0</v>
      </c>
      <c r="J16" s="36">
        <v>0</v>
      </c>
      <c r="K16" s="36">
        <v>0</v>
      </c>
      <c r="L16" s="36">
        <v>0</v>
      </c>
      <c r="M16" s="36"/>
      <c r="N16" s="293">
        <f t="shared" si="0"/>
        <v>0</v>
      </c>
    </row>
    <row r="17" spans="1:16">
      <c r="A17" s="6">
        <f t="shared" si="1"/>
        <v>6</v>
      </c>
      <c r="B17" s="20" t="s">
        <v>51</v>
      </c>
      <c r="C17" s="34">
        <v>0</v>
      </c>
      <c r="D17" s="35">
        <v>0</v>
      </c>
      <c r="E17" s="34">
        <v>0</v>
      </c>
      <c r="F17" s="34">
        <v>0</v>
      </c>
      <c r="G17" s="34">
        <v>0</v>
      </c>
      <c r="H17" s="36">
        <v>0</v>
      </c>
      <c r="I17" s="36">
        <v>0</v>
      </c>
      <c r="J17" s="36">
        <v>0</v>
      </c>
      <c r="K17" s="36">
        <v>0</v>
      </c>
      <c r="L17" s="36">
        <v>0</v>
      </c>
      <c r="M17" s="36"/>
      <c r="N17" s="293">
        <f t="shared" si="0"/>
        <v>0</v>
      </c>
    </row>
    <row r="18" spans="1:16">
      <c r="A18" s="6">
        <f t="shared" si="1"/>
        <v>7</v>
      </c>
      <c r="B18" s="20" t="s">
        <v>55</v>
      </c>
      <c r="C18" s="34">
        <v>0</v>
      </c>
      <c r="D18" s="35">
        <v>0</v>
      </c>
      <c r="E18" s="34">
        <v>0</v>
      </c>
      <c r="F18" s="34">
        <v>0</v>
      </c>
      <c r="G18" s="34">
        <v>0</v>
      </c>
      <c r="H18" s="36">
        <v>0</v>
      </c>
      <c r="I18" s="36">
        <v>0</v>
      </c>
      <c r="J18" s="36">
        <v>0</v>
      </c>
      <c r="K18" s="36">
        <v>0</v>
      </c>
      <c r="L18" s="36">
        <v>0</v>
      </c>
      <c r="M18" s="36"/>
      <c r="N18" s="293">
        <f t="shared" si="0"/>
        <v>0</v>
      </c>
    </row>
    <row r="19" spans="1:16">
      <c r="A19" s="6">
        <f t="shared" si="1"/>
        <v>8</v>
      </c>
      <c r="B19" s="20" t="s">
        <v>56</v>
      </c>
      <c r="C19" s="34">
        <v>0</v>
      </c>
      <c r="D19" s="35">
        <v>0</v>
      </c>
      <c r="E19" s="34">
        <v>0</v>
      </c>
      <c r="F19" s="34">
        <v>0</v>
      </c>
      <c r="G19" s="34">
        <v>0</v>
      </c>
      <c r="H19" s="36">
        <v>0</v>
      </c>
      <c r="I19" s="36">
        <v>0</v>
      </c>
      <c r="J19" s="36">
        <v>0</v>
      </c>
      <c r="K19" s="36">
        <v>0</v>
      </c>
      <c r="L19" s="36">
        <v>0</v>
      </c>
      <c r="M19" s="36"/>
      <c r="N19" s="293">
        <f t="shared" si="0"/>
        <v>0</v>
      </c>
    </row>
    <row r="20" spans="1:16">
      <c r="A20" s="6">
        <f t="shared" si="1"/>
        <v>9</v>
      </c>
      <c r="B20" s="20" t="s">
        <v>57</v>
      </c>
      <c r="C20" s="34">
        <v>0</v>
      </c>
      <c r="D20" s="35">
        <v>0</v>
      </c>
      <c r="E20" s="34">
        <v>0</v>
      </c>
      <c r="F20" s="34">
        <v>0</v>
      </c>
      <c r="G20" s="34">
        <v>0</v>
      </c>
      <c r="H20" s="36">
        <v>0</v>
      </c>
      <c r="I20" s="36">
        <v>0</v>
      </c>
      <c r="J20" s="36">
        <v>0</v>
      </c>
      <c r="K20" s="36">
        <v>0</v>
      </c>
      <c r="L20" s="36">
        <v>0</v>
      </c>
      <c r="M20" s="36"/>
      <c r="N20" s="293">
        <f t="shared" si="0"/>
        <v>0</v>
      </c>
    </row>
    <row r="21" spans="1:16">
      <c r="A21" s="6">
        <f t="shared" si="1"/>
        <v>10</v>
      </c>
      <c r="B21" s="20" t="s">
        <v>58</v>
      </c>
      <c r="C21" s="34">
        <v>0</v>
      </c>
      <c r="D21" s="35">
        <v>0</v>
      </c>
      <c r="E21" s="34">
        <v>0</v>
      </c>
      <c r="F21" s="34">
        <v>0</v>
      </c>
      <c r="G21" s="34">
        <v>0</v>
      </c>
      <c r="H21" s="36">
        <v>0</v>
      </c>
      <c r="I21" s="36">
        <v>0</v>
      </c>
      <c r="J21" s="36">
        <v>0</v>
      </c>
      <c r="K21" s="36">
        <v>0</v>
      </c>
      <c r="L21" s="36">
        <v>0</v>
      </c>
      <c r="M21" s="36"/>
      <c r="N21" s="293">
        <f t="shared" si="0"/>
        <v>0</v>
      </c>
    </row>
    <row r="22" spans="1:16">
      <c r="A22" s="6">
        <f t="shared" si="1"/>
        <v>11</v>
      </c>
      <c r="B22" s="20" t="s">
        <v>59</v>
      </c>
      <c r="C22" s="34">
        <v>0</v>
      </c>
      <c r="D22" s="35">
        <v>0</v>
      </c>
      <c r="E22" s="34">
        <v>0</v>
      </c>
      <c r="F22" s="34">
        <v>0</v>
      </c>
      <c r="G22" s="34">
        <v>0</v>
      </c>
      <c r="H22" s="36">
        <v>0</v>
      </c>
      <c r="I22" s="36">
        <v>0</v>
      </c>
      <c r="J22" s="36">
        <v>0</v>
      </c>
      <c r="K22" s="36">
        <v>0</v>
      </c>
      <c r="L22" s="36">
        <v>0</v>
      </c>
      <c r="M22" s="36"/>
      <c r="N22" s="293">
        <f t="shared" si="0"/>
        <v>0</v>
      </c>
    </row>
    <row r="23" spans="1:16">
      <c r="A23" s="6">
        <f t="shared" si="1"/>
        <v>12</v>
      </c>
      <c r="B23" s="20" t="s">
        <v>60</v>
      </c>
      <c r="C23" s="34">
        <v>0</v>
      </c>
      <c r="D23" s="35">
        <v>0</v>
      </c>
      <c r="E23" s="34">
        <v>0</v>
      </c>
      <c r="F23" s="34">
        <v>0</v>
      </c>
      <c r="G23" s="34">
        <v>0</v>
      </c>
      <c r="H23" s="36">
        <v>0</v>
      </c>
      <c r="I23" s="36">
        <v>0</v>
      </c>
      <c r="J23" s="36">
        <v>0</v>
      </c>
      <c r="K23" s="36">
        <v>0</v>
      </c>
      <c r="L23" s="36">
        <v>0</v>
      </c>
      <c r="M23" s="36"/>
      <c r="N23" s="293">
        <f t="shared" si="0"/>
        <v>0</v>
      </c>
    </row>
    <row r="24" spans="1:16">
      <c r="A24" s="6">
        <f t="shared" si="1"/>
        <v>13</v>
      </c>
      <c r="B24" s="578" t="s">
        <v>62</v>
      </c>
      <c r="C24" s="34">
        <v>0</v>
      </c>
      <c r="D24" s="35">
        <v>0</v>
      </c>
      <c r="E24" s="34">
        <v>0</v>
      </c>
      <c r="F24" s="34">
        <v>0</v>
      </c>
      <c r="G24" s="34">
        <v>0</v>
      </c>
      <c r="H24" s="37">
        <v>0</v>
      </c>
      <c r="I24" s="36">
        <v>0</v>
      </c>
      <c r="J24" s="36">
        <v>0</v>
      </c>
      <c r="K24" s="37">
        <v>0</v>
      </c>
      <c r="L24" s="37">
        <v>0</v>
      </c>
      <c r="M24" s="37"/>
      <c r="N24" s="294">
        <f t="shared" si="0"/>
        <v>0</v>
      </c>
    </row>
    <row r="25" spans="1:16" ht="13.5" thickBot="1">
      <c r="A25" s="6">
        <f t="shared" si="1"/>
        <v>14</v>
      </c>
      <c r="B25" s="30" t="s">
        <v>76</v>
      </c>
      <c r="C25" s="27">
        <f t="shared" ref="C25:E25" si="2">SUM(C12:C24)/13</f>
        <v>0</v>
      </c>
      <c r="D25" s="27">
        <f t="shared" si="2"/>
        <v>0</v>
      </c>
      <c r="E25" s="27">
        <f t="shared" si="2"/>
        <v>0</v>
      </c>
      <c r="F25" s="25">
        <f>SUM(F12:F24)/13</f>
        <v>0</v>
      </c>
      <c r="G25" s="25">
        <f t="shared" ref="G25:H25" si="3">SUM(G12:G24)/13</f>
        <v>0</v>
      </c>
      <c r="H25" s="25">
        <f t="shared" si="3"/>
        <v>0</v>
      </c>
      <c r="I25" s="25">
        <f t="shared" ref="I25:M25" si="4">SUM(I12:I24)/13</f>
        <v>0</v>
      </c>
      <c r="J25" s="25">
        <f t="shared" si="4"/>
        <v>0</v>
      </c>
      <c r="K25" s="25">
        <f t="shared" si="4"/>
        <v>0</v>
      </c>
      <c r="L25" s="25">
        <f t="shared" si="4"/>
        <v>0</v>
      </c>
      <c r="M25" s="25">
        <f t="shared" si="4"/>
        <v>0</v>
      </c>
      <c r="N25" s="292">
        <f t="shared" si="0"/>
        <v>0</v>
      </c>
    </row>
    <row r="26" spans="1:16" ht="26.25" customHeight="1" thickTop="1">
      <c r="B26" s="20"/>
      <c r="C26" s="658" t="s">
        <v>165</v>
      </c>
      <c r="D26" s="658"/>
      <c r="E26" s="658"/>
      <c r="F26" s="658"/>
      <c r="G26" s="658"/>
      <c r="H26" s="658"/>
      <c r="I26" s="658"/>
      <c r="J26" s="658"/>
      <c r="K26" s="658"/>
      <c r="L26" s="658"/>
      <c r="M26" s="658"/>
      <c r="N26" s="658"/>
      <c r="O26" s="7"/>
      <c r="P26" s="26"/>
    </row>
    <row r="27" spans="1:16" ht="15">
      <c r="C27" s="26"/>
      <c r="D27" s="7"/>
      <c r="E27" s="26"/>
      <c r="F27" s="26"/>
      <c r="G27" s="7"/>
      <c r="H27" s="7"/>
      <c r="I27" s="7"/>
      <c r="J27" s="7"/>
      <c r="K27" s="7"/>
      <c r="L27" s="7"/>
      <c r="M27" s="7"/>
      <c r="N27" s="7"/>
      <c r="O27" s="7"/>
      <c r="P27" s="26"/>
    </row>
    <row r="28" spans="1:16" ht="25.5" customHeight="1">
      <c r="C28" s="656" t="s">
        <v>61</v>
      </c>
      <c r="D28" s="656"/>
      <c r="E28" s="656"/>
      <c r="F28" s="656"/>
      <c r="G28" s="656"/>
      <c r="H28" s="656"/>
      <c r="I28" s="656"/>
      <c r="J28" s="656"/>
      <c r="K28" s="656"/>
      <c r="L28" s="656"/>
      <c r="M28" s="656"/>
      <c r="N28" s="656"/>
      <c r="O28" s="8"/>
      <c r="P28" s="26"/>
    </row>
    <row r="29" spans="1:16" ht="25.5" customHeight="1">
      <c r="C29" s="3"/>
      <c r="D29" s="3"/>
      <c r="E29" s="3"/>
      <c r="F29" s="3"/>
      <c r="G29" s="3"/>
      <c r="H29" s="3"/>
      <c r="I29" s="656" t="str">
        <f>+I8</f>
        <v>Schedule 19 Projects</v>
      </c>
      <c r="J29" s="656"/>
      <c r="K29" s="656"/>
      <c r="L29" s="656"/>
      <c r="M29" s="656"/>
      <c r="N29" s="656"/>
      <c r="O29" s="8"/>
      <c r="P29" s="26"/>
    </row>
    <row r="30" spans="1:16"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291" t="str">
        <f t="shared" si="5"/>
        <v>Project 1</v>
      </c>
      <c r="J30" s="291" t="str">
        <f t="shared" si="5"/>
        <v>Project 2</v>
      </c>
      <c r="K30" s="291" t="str">
        <f t="shared" si="5"/>
        <v>Project 3</v>
      </c>
      <c r="L30" s="291" t="str">
        <f t="shared" si="5"/>
        <v>Project 4</v>
      </c>
      <c r="M30" s="291"/>
      <c r="N30" s="4" t="str">
        <f t="shared" si="5"/>
        <v>Total</v>
      </c>
      <c r="O30" s="4"/>
      <c r="P30" s="20"/>
    </row>
    <row r="31" spans="1:16" ht="25.5">
      <c r="B31" s="29" t="str">
        <f t="shared" ref="B31:B46" si="6">+B10</f>
        <v>FF1 Reference</v>
      </c>
      <c r="C31" s="291" t="s">
        <v>607</v>
      </c>
      <c r="D31" s="4" t="s">
        <v>480</v>
      </c>
      <c r="E31" s="3" t="s">
        <v>481</v>
      </c>
      <c r="F31" s="4" t="s">
        <v>482</v>
      </c>
      <c r="G31" s="3" t="s">
        <v>483</v>
      </c>
      <c r="H31" s="4" t="str">
        <f>+H10</f>
        <v>356 fn</v>
      </c>
      <c r="I31" s="3" t="s">
        <v>481</v>
      </c>
      <c r="J31" s="3" t="s">
        <v>481</v>
      </c>
      <c r="K31" s="3" t="s">
        <v>481</v>
      </c>
      <c r="L31" s="3" t="s">
        <v>481</v>
      </c>
      <c r="M31" s="3" t="s">
        <v>481</v>
      </c>
      <c r="N31" s="4" t="str">
        <f>"Sum of Columns "&amp;I7&amp;" through "&amp;M7&amp;""</f>
        <v>Sum of Columns (h) through (l)</v>
      </c>
      <c r="O31" s="4"/>
      <c r="P31" s="20"/>
    </row>
    <row r="32" spans="1:16">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row>
    <row r="33" spans="1:16">
      <c r="A33" s="6">
        <f>+A25+1</f>
        <v>15</v>
      </c>
      <c r="B33" s="17" t="str">
        <f t="shared" si="6"/>
        <v>December '20</v>
      </c>
      <c r="C33" s="34">
        <v>0</v>
      </c>
      <c r="D33" s="38">
        <v>0</v>
      </c>
      <c r="E33" s="38">
        <v>0</v>
      </c>
      <c r="F33" s="34">
        <v>0</v>
      </c>
      <c r="G33" s="37">
        <v>0</v>
      </c>
      <c r="H33" s="34">
        <v>0</v>
      </c>
      <c r="I33" s="34">
        <v>0</v>
      </c>
      <c r="J33" s="34">
        <v>0</v>
      </c>
      <c r="K33" s="34">
        <v>0</v>
      </c>
      <c r="L33" s="34">
        <v>0</v>
      </c>
      <c r="M33" s="34"/>
      <c r="N33" s="34">
        <f>+SUM(I33:M33)</f>
        <v>0</v>
      </c>
      <c r="O33" s="24"/>
      <c r="P33" s="20"/>
    </row>
    <row r="34" spans="1:16">
      <c r="A34" s="6">
        <f>+A33+1</f>
        <v>16</v>
      </c>
      <c r="B34" s="17" t="str">
        <f t="shared" si="6"/>
        <v>January '21</v>
      </c>
      <c r="C34" s="34">
        <v>0</v>
      </c>
      <c r="D34" s="38">
        <v>0</v>
      </c>
      <c r="E34" s="38">
        <v>0</v>
      </c>
      <c r="F34" s="34">
        <v>0</v>
      </c>
      <c r="G34" s="37">
        <v>0</v>
      </c>
      <c r="H34" s="34">
        <v>0</v>
      </c>
      <c r="I34" s="34">
        <v>0</v>
      </c>
      <c r="J34" s="34">
        <v>0</v>
      </c>
      <c r="K34" s="34">
        <v>0</v>
      </c>
      <c r="L34" s="34">
        <v>0</v>
      </c>
      <c r="M34" s="34"/>
      <c r="N34" s="34">
        <f t="shared" ref="N34:N45" si="7">+SUM(I34:M34)</f>
        <v>0</v>
      </c>
      <c r="O34" s="24"/>
      <c r="P34" s="20"/>
    </row>
    <row r="35" spans="1:16">
      <c r="A35" s="6">
        <f t="shared" ref="A35:A46" si="8">+A34+1</f>
        <v>17</v>
      </c>
      <c r="B35" s="17" t="str">
        <f t="shared" si="6"/>
        <v>February</v>
      </c>
      <c r="C35" s="34">
        <v>0</v>
      </c>
      <c r="D35" s="38">
        <v>0</v>
      </c>
      <c r="E35" s="38">
        <v>0</v>
      </c>
      <c r="F35" s="34">
        <v>0</v>
      </c>
      <c r="G35" s="37">
        <v>0</v>
      </c>
      <c r="H35" s="34">
        <v>0</v>
      </c>
      <c r="I35" s="34">
        <v>0</v>
      </c>
      <c r="J35" s="34">
        <v>0</v>
      </c>
      <c r="K35" s="34">
        <v>0</v>
      </c>
      <c r="L35" s="34">
        <v>0</v>
      </c>
      <c r="M35" s="34"/>
      <c r="N35" s="34">
        <f t="shared" si="7"/>
        <v>0</v>
      </c>
      <c r="O35" s="24"/>
      <c r="P35" s="20"/>
    </row>
    <row r="36" spans="1:16">
      <c r="A36" s="6">
        <f t="shared" si="8"/>
        <v>18</v>
      </c>
      <c r="B36" s="17" t="str">
        <f t="shared" si="6"/>
        <v xml:space="preserve">March </v>
      </c>
      <c r="C36" s="34">
        <v>0</v>
      </c>
      <c r="D36" s="38">
        <v>0</v>
      </c>
      <c r="E36" s="38">
        <v>0</v>
      </c>
      <c r="F36" s="34">
        <v>0</v>
      </c>
      <c r="G36" s="37">
        <v>0</v>
      </c>
      <c r="H36" s="34">
        <v>0</v>
      </c>
      <c r="I36" s="34">
        <v>0</v>
      </c>
      <c r="J36" s="34">
        <v>0</v>
      </c>
      <c r="K36" s="34">
        <v>0</v>
      </c>
      <c r="L36" s="34">
        <v>0</v>
      </c>
      <c r="M36" s="34"/>
      <c r="N36" s="34">
        <f t="shared" si="7"/>
        <v>0</v>
      </c>
      <c r="O36" s="24"/>
      <c r="P36" s="20"/>
    </row>
    <row r="37" spans="1:16">
      <c r="A37" s="6">
        <f t="shared" si="8"/>
        <v>19</v>
      </c>
      <c r="B37" s="17" t="str">
        <f t="shared" si="6"/>
        <v>April</v>
      </c>
      <c r="C37" s="34">
        <v>0</v>
      </c>
      <c r="D37" s="38">
        <v>0</v>
      </c>
      <c r="E37" s="38">
        <v>0</v>
      </c>
      <c r="F37" s="34">
        <v>0</v>
      </c>
      <c r="G37" s="37">
        <v>0</v>
      </c>
      <c r="H37" s="34">
        <v>0</v>
      </c>
      <c r="I37" s="34">
        <v>0</v>
      </c>
      <c r="J37" s="34">
        <v>0</v>
      </c>
      <c r="K37" s="34">
        <v>0</v>
      </c>
      <c r="L37" s="34">
        <v>0</v>
      </c>
      <c r="M37" s="34"/>
      <c r="N37" s="34">
        <f t="shared" si="7"/>
        <v>0</v>
      </c>
      <c r="O37" s="24"/>
      <c r="P37" s="20"/>
    </row>
    <row r="38" spans="1:16">
      <c r="A38" s="6">
        <f t="shared" si="8"/>
        <v>20</v>
      </c>
      <c r="B38" s="17" t="str">
        <f t="shared" si="6"/>
        <v>May</v>
      </c>
      <c r="C38" s="34">
        <v>0</v>
      </c>
      <c r="D38" s="38">
        <v>0</v>
      </c>
      <c r="E38" s="38">
        <v>0</v>
      </c>
      <c r="F38" s="34">
        <v>0</v>
      </c>
      <c r="G38" s="37">
        <v>0</v>
      </c>
      <c r="H38" s="34">
        <v>0</v>
      </c>
      <c r="I38" s="34">
        <v>0</v>
      </c>
      <c r="J38" s="34">
        <v>0</v>
      </c>
      <c r="K38" s="34">
        <v>0</v>
      </c>
      <c r="L38" s="34">
        <v>0</v>
      </c>
      <c r="M38" s="34"/>
      <c r="N38" s="34">
        <f t="shared" si="7"/>
        <v>0</v>
      </c>
      <c r="O38" s="24"/>
      <c r="P38" s="20"/>
    </row>
    <row r="39" spans="1:16">
      <c r="A39" s="6">
        <f t="shared" si="8"/>
        <v>21</v>
      </c>
      <c r="B39" s="17" t="str">
        <f t="shared" si="6"/>
        <v>June</v>
      </c>
      <c r="C39" s="34">
        <v>0</v>
      </c>
      <c r="D39" s="38">
        <v>0</v>
      </c>
      <c r="E39" s="38">
        <v>0</v>
      </c>
      <c r="F39" s="34">
        <v>0</v>
      </c>
      <c r="G39" s="37">
        <v>0</v>
      </c>
      <c r="H39" s="34">
        <v>0</v>
      </c>
      <c r="I39" s="34">
        <v>0</v>
      </c>
      <c r="J39" s="34">
        <v>0</v>
      </c>
      <c r="K39" s="34">
        <v>0</v>
      </c>
      <c r="L39" s="34">
        <v>0</v>
      </c>
      <c r="M39" s="34"/>
      <c r="N39" s="34">
        <f t="shared" si="7"/>
        <v>0</v>
      </c>
      <c r="O39" s="24"/>
      <c r="P39" s="20"/>
    </row>
    <row r="40" spans="1:16">
      <c r="A40" s="6">
        <f t="shared" si="8"/>
        <v>22</v>
      </c>
      <c r="B40" s="17" t="str">
        <f t="shared" si="6"/>
        <v>July</v>
      </c>
      <c r="C40" s="34">
        <v>0</v>
      </c>
      <c r="D40" s="38">
        <v>0</v>
      </c>
      <c r="E40" s="38">
        <v>0</v>
      </c>
      <c r="F40" s="34">
        <v>0</v>
      </c>
      <c r="G40" s="37">
        <v>0</v>
      </c>
      <c r="H40" s="34">
        <v>0</v>
      </c>
      <c r="I40" s="34">
        <v>0</v>
      </c>
      <c r="J40" s="34">
        <v>0</v>
      </c>
      <c r="K40" s="34">
        <v>0</v>
      </c>
      <c r="L40" s="34">
        <v>0</v>
      </c>
      <c r="M40" s="34"/>
      <c r="N40" s="34">
        <f t="shared" si="7"/>
        <v>0</v>
      </c>
      <c r="O40" s="24"/>
      <c r="P40" s="20"/>
    </row>
    <row r="41" spans="1:16">
      <c r="A41" s="6">
        <f t="shared" si="8"/>
        <v>23</v>
      </c>
      <c r="B41" s="17" t="str">
        <f t="shared" si="6"/>
        <v xml:space="preserve">August </v>
      </c>
      <c r="C41" s="34">
        <v>0</v>
      </c>
      <c r="D41" s="38">
        <v>0</v>
      </c>
      <c r="E41" s="38">
        <v>0</v>
      </c>
      <c r="F41" s="34">
        <v>0</v>
      </c>
      <c r="G41" s="37">
        <v>0</v>
      </c>
      <c r="H41" s="34">
        <v>0</v>
      </c>
      <c r="I41" s="34">
        <v>0</v>
      </c>
      <c r="J41" s="34">
        <v>0</v>
      </c>
      <c r="K41" s="34">
        <v>0</v>
      </c>
      <c r="L41" s="34">
        <v>0</v>
      </c>
      <c r="M41" s="34"/>
      <c r="N41" s="34">
        <f t="shared" si="7"/>
        <v>0</v>
      </c>
      <c r="O41" s="24"/>
      <c r="P41" s="20"/>
    </row>
    <row r="42" spans="1:16">
      <c r="A42" s="6">
        <f t="shared" si="8"/>
        <v>24</v>
      </c>
      <c r="B42" s="17" t="str">
        <f t="shared" si="6"/>
        <v>September</v>
      </c>
      <c r="C42" s="34">
        <v>0</v>
      </c>
      <c r="D42" s="38">
        <v>0</v>
      </c>
      <c r="E42" s="38">
        <v>0</v>
      </c>
      <c r="F42" s="34">
        <v>0</v>
      </c>
      <c r="G42" s="37">
        <v>0</v>
      </c>
      <c r="H42" s="34">
        <v>0</v>
      </c>
      <c r="I42" s="34">
        <v>0</v>
      </c>
      <c r="J42" s="34">
        <v>0</v>
      </c>
      <c r="K42" s="34">
        <v>0</v>
      </c>
      <c r="L42" s="34">
        <v>0</v>
      </c>
      <c r="M42" s="34"/>
      <c r="N42" s="34">
        <f t="shared" si="7"/>
        <v>0</v>
      </c>
      <c r="O42" s="24"/>
      <c r="P42" s="20"/>
    </row>
    <row r="43" spans="1:16">
      <c r="A43" s="6">
        <f t="shared" si="8"/>
        <v>25</v>
      </c>
      <c r="B43" s="17" t="str">
        <f t="shared" si="6"/>
        <v>October</v>
      </c>
      <c r="C43" s="34">
        <v>0</v>
      </c>
      <c r="D43" s="38">
        <v>0</v>
      </c>
      <c r="E43" s="38">
        <v>0</v>
      </c>
      <c r="F43" s="34">
        <v>0</v>
      </c>
      <c r="G43" s="37">
        <v>0</v>
      </c>
      <c r="H43" s="34">
        <v>0</v>
      </c>
      <c r="I43" s="34">
        <v>0</v>
      </c>
      <c r="J43" s="34">
        <v>0</v>
      </c>
      <c r="K43" s="34">
        <v>0</v>
      </c>
      <c r="L43" s="34">
        <v>0</v>
      </c>
      <c r="M43" s="34"/>
      <c r="N43" s="34">
        <f t="shared" si="7"/>
        <v>0</v>
      </c>
      <c r="O43" s="24"/>
      <c r="P43" s="20"/>
    </row>
    <row r="44" spans="1:16">
      <c r="A44" s="6">
        <f t="shared" si="8"/>
        <v>26</v>
      </c>
      <c r="B44" s="17" t="str">
        <f t="shared" si="6"/>
        <v>November</v>
      </c>
      <c r="C44" s="34">
        <v>0</v>
      </c>
      <c r="D44" s="38">
        <v>0</v>
      </c>
      <c r="E44" s="38">
        <v>0</v>
      </c>
      <c r="F44" s="34">
        <v>0</v>
      </c>
      <c r="G44" s="37">
        <v>0</v>
      </c>
      <c r="H44" s="34">
        <v>0</v>
      </c>
      <c r="I44" s="34">
        <v>0</v>
      </c>
      <c r="J44" s="34">
        <v>0</v>
      </c>
      <c r="K44" s="34">
        <v>0</v>
      </c>
      <c r="L44" s="34">
        <v>0</v>
      </c>
      <c r="M44" s="34"/>
      <c r="N44" s="34">
        <f t="shared" si="7"/>
        <v>0</v>
      </c>
      <c r="O44" s="24"/>
      <c r="P44" s="20"/>
    </row>
    <row r="45" spans="1:16">
      <c r="A45" s="6">
        <f t="shared" si="8"/>
        <v>27</v>
      </c>
      <c r="B45" s="17" t="str">
        <f t="shared" si="6"/>
        <v>December '21</v>
      </c>
      <c r="C45" s="34">
        <v>0</v>
      </c>
      <c r="D45" s="38">
        <v>0</v>
      </c>
      <c r="E45" s="38">
        <v>0</v>
      </c>
      <c r="F45" s="34">
        <v>0</v>
      </c>
      <c r="G45" s="37">
        <v>0</v>
      </c>
      <c r="H45" s="34">
        <v>0</v>
      </c>
      <c r="I45" s="34">
        <v>0</v>
      </c>
      <c r="J45" s="34">
        <v>0</v>
      </c>
      <c r="K45" s="34">
        <v>0</v>
      </c>
      <c r="L45" s="34">
        <v>0</v>
      </c>
      <c r="M45" s="34"/>
      <c r="N45" s="34">
        <f t="shared" si="7"/>
        <v>0</v>
      </c>
      <c r="O45" s="24"/>
      <c r="P45" s="20"/>
    </row>
    <row r="46" spans="1:16" ht="13.5" thickBot="1">
      <c r="A46" s="6">
        <f t="shared" si="8"/>
        <v>28</v>
      </c>
      <c r="B46" s="30" t="str">
        <f t="shared" si="6"/>
        <v>Average</v>
      </c>
      <c r="C46" s="25">
        <f t="shared" ref="C46:N46" si="9">SUM(C33:C45)/13</f>
        <v>0</v>
      </c>
      <c r="D46" s="28">
        <f t="shared" si="9"/>
        <v>0</v>
      </c>
      <c r="E46" s="25">
        <f t="shared" si="9"/>
        <v>0</v>
      </c>
      <c r="F46" s="25">
        <f t="shared" si="9"/>
        <v>0</v>
      </c>
      <c r="G46" s="25">
        <f t="shared" si="9"/>
        <v>0</v>
      </c>
      <c r="H46" s="25">
        <f t="shared" si="9"/>
        <v>0</v>
      </c>
      <c r="I46" s="25">
        <f t="shared" si="9"/>
        <v>0</v>
      </c>
      <c r="J46" s="25">
        <f t="shared" si="9"/>
        <v>0</v>
      </c>
      <c r="K46" s="25">
        <f t="shared" si="9"/>
        <v>0</v>
      </c>
      <c r="L46" s="25">
        <f t="shared" si="9"/>
        <v>0</v>
      </c>
      <c r="M46" s="25">
        <f t="shared" si="9"/>
        <v>0</v>
      </c>
      <c r="N46" s="25">
        <f t="shared" si="9"/>
        <v>0</v>
      </c>
      <c r="O46" s="26"/>
      <c r="P46" s="20"/>
    </row>
    <row r="47" spans="1:16" ht="13.5" thickTop="1"/>
    <row r="48" spans="1:16">
      <c r="C48" s="655" t="s">
        <v>343</v>
      </c>
      <c r="D48" s="655"/>
      <c r="E48" s="655"/>
      <c r="F48" s="655"/>
      <c r="G48" s="655"/>
      <c r="H48" s="655"/>
      <c r="I48" s="606"/>
    </row>
    <row r="50" spans="1:9">
      <c r="H50" s="605" t="s">
        <v>80</v>
      </c>
      <c r="I50" s="3"/>
    </row>
    <row r="51" spans="1:9" ht="51">
      <c r="B51" s="5" t="str">
        <f t="shared" ref="B51:B67" si="10">+B30</f>
        <v>Month</v>
      </c>
      <c r="C51" s="4" t="s">
        <v>502</v>
      </c>
      <c r="D51" s="4" t="s">
        <v>539</v>
      </c>
      <c r="E51" s="4" t="s">
        <v>82</v>
      </c>
      <c r="F51" s="4" t="s">
        <v>83</v>
      </c>
      <c r="G51" s="3" t="s">
        <v>84</v>
      </c>
      <c r="H51" s="39" t="s">
        <v>91</v>
      </c>
    </row>
    <row r="52" spans="1:9">
      <c r="B52" s="30" t="str">
        <f t="shared" si="10"/>
        <v>FF1 Reference</v>
      </c>
      <c r="C52" s="291" t="s">
        <v>608</v>
      </c>
      <c r="D52" s="291" t="s">
        <v>484</v>
      </c>
      <c r="E52" s="4" t="s">
        <v>485</v>
      </c>
      <c r="F52" s="4" t="s">
        <v>486</v>
      </c>
      <c r="G52" s="3" t="s">
        <v>487</v>
      </c>
      <c r="H52" s="39" t="s">
        <v>488</v>
      </c>
    </row>
    <row r="53" spans="1:9">
      <c r="B53" s="33" t="str">
        <f t="shared" si="10"/>
        <v>Appendix A line #</v>
      </c>
      <c r="C53" s="22">
        <f>+'Appendix A'!A46</f>
        <v>26</v>
      </c>
      <c r="D53" s="22">
        <f>+C53</f>
        <v>26</v>
      </c>
      <c r="E53" s="22">
        <f>+'Appendix A'!A50</f>
        <v>28</v>
      </c>
      <c r="F53" s="22">
        <f>+'Appendix A'!A51</f>
        <v>29</v>
      </c>
      <c r="G53" s="32">
        <f>+'Appendix A'!A52</f>
        <v>30</v>
      </c>
      <c r="H53" s="40"/>
    </row>
    <row r="54" spans="1:9">
      <c r="A54" s="6">
        <f>+A46+1</f>
        <v>29</v>
      </c>
      <c r="B54" s="2" t="str">
        <f t="shared" si="10"/>
        <v>December '20</v>
      </c>
      <c r="C54" s="34">
        <v>0</v>
      </c>
      <c r="D54" s="34">
        <v>0</v>
      </c>
      <c r="E54" s="34">
        <v>0</v>
      </c>
      <c r="F54" s="34">
        <v>0</v>
      </c>
      <c r="G54" s="37">
        <v>0</v>
      </c>
      <c r="H54" s="37">
        <v>0</v>
      </c>
    </row>
    <row r="55" spans="1:9">
      <c r="A55" s="6">
        <f>+A54+1</f>
        <v>30</v>
      </c>
      <c r="B55" s="2" t="str">
        <f t="shared" si="10"/>
        <v>January '21</v>
      </c>
      <c r="C55" s="34">
        <v>0</v>
      </c>
      <c r="D55" s="34">
        <v>0</v>
      </c>
      <c r="E55" s="34">
        <v>0</v>
      </c>
      <c r="F55" s="34">
        <v>0</v>
      </c>
      <c r="G55" s="37">
        <v>0</v>
      </c>
      <c r="H55" s="37">
        <v>0</v>
      </c>
    </row>
    <row r="56" spans="1:9">
      <c r="A56" s="6">
        <f t="shared" ref="A56:A67" si="11">+A55+1</f>
        <v>31</v>
      </c>
      <c r="B56" s="2" t="str">
        <f t="shared" si="10"/>
        <v>February</v>
      </c>
      <c r="C56" s="34">
        <v>0</v>
      </c>
      <c r="D56" s="34">
        <v>0</v>
      </c>
      <c r="E56" s="34">
        <v>0</v>
      </c>
      <c r="F56" s="34">
        <v>0</v>
      </c>
      <c r="G56" s="37">
        <v>0</v>
      </c>
      <c r="H56" s="37">
        <v>0</v>
      </c>
    </row>
    <row r="57" spans="1:9">
      <c r="A57" s="6">
        <f t="shared" si="11"/>
        <v>32</v>
      </c>
      <c r="B57" s="2" t="str">
        <f t="shared" si="10"/>
        <v xml:space="preserve">March </v>
      </c>
      <c r="C57" s="34">
        <v>0</v>
      </c>
      <c r="D57" s="34">
        <v>0</v>
      </c>
      <c r="E57" s="34">
        <v>0</v>
      </c>
      <c r="F57" s="34">
        <v>0</v>
      </c>
      <c r="G57" s="37">
        <v>0</v>
      </c>
      <c r="H57" s="37">
        <v>0</v>
      </c>
    </row>
    <row r="58" spans="1:9">
      <c r="A58" s="6">
        <f t="shared" si="11"/>
        <v>33</v>
      </c>
      <c r="B58" s="2" t="str">
        <f t="shared" si="10"/>
        <v>April</v>
      </c>
      <c r="C58" s="34">
        <v>0</v>
      </c>
      <c r="D58" s="34">
        <v>0</v>
      </c>
      <c r="E58" s="34">
        <v>0</v>
      </c>
      <c r="F58" s="34">
        <v>0</v>
      </c>
      <c r="G58" s="37">
        <v>0</v>
      </c>
      <c r="H58" s="37">
        <v>0</v>
      </c>
    </row>
    <row r="59" spans="1:9">
      <c r="A59" s="6">
        <f t="shared" si="11"/>
        <v>34</v>
      </c>
      <c r="B59" s="2" t="str">
        <f t="shared" si="10"/>
        <v>May</v>
      </c>
      <c r="C59" s="34">
        <v>0</v>
      </c>
      <c r="D59" s="34">
        <v>0</v>
      </c>
      <c r="E59" s="34">
        <v>0</v>
      </c>
      <c r="F59" s="34">
        <v>0</v>
      </c>
      <c r="G59" s="37">
        <v>0</v>
      </c>
      <c r="H59" s="37">
        <v>0</v>
      </c>
    </row>
    <row r="60" spans="1:9">
      <c r="A60" s="6">
        <f t="shared" si="11"/>
        <v>35</v>
      </c>
      <c r="B60" s="2" t="str">
        <f t="shared" si="10"/>
        <v>June</v>
      </c>
      <c r="C60" s="34">
        <v>0</v>
      </c>
      <c r="D60" s="34">
        <v>0</v>
      </c>
      <c r="E60" s="34">
        <v>0</v>
      </c>
      <c r="F60" s="34">
        <v>0</v>
      </c>
      <c r="G60" s="37">
        <v>0</v>
      </c>
      <c r="H60" s="37">
        <v>0</v>
      </c>
    </row>
    <row r="61" spans="1:9">
      <c r="A61" s="6">
        <f t="shared" si="11"/>
        <v>36</v>
      </c>
      <c r="B61" s="2" t="str">
        <f t="shared" si="10"/>
        <v>July</v>
      </c>
      <c r="C61" s="34">
        <v>0</v>
      </c>
      <c r="D61" s="34">
        <v>0</v>
      </c>
      <c r="E61" s="34">
        <v>0</v>
      </c>
      <c r="F61" s="34">
        <v>0</v>
      </c>
      <c r="G61" s="37">
        <v>0</v>
      </c>
      <c r="H61" s="37">
        <v>0</v>
      </c>
    </row>
    <row r="62" spans="1:9">
      <c r="A62" s="6">
        <f t="shared" si="11"/>
        <v>37</v>
      </c>
      <c r="B62" s="2" t="str">
        <f t="shared" si="10"/>
        <v xml:space="preserve">August </v>
      </c>
      <c r="C62" s="34">
        <v>0</v>
      </c>
      <c r="D62" s="34">
        <v>0</v>
      </c>
      <c r="E62" s="34">
        <v>0</v>
      </c>
      <c r="F62" s="34">
        <v>0</v>
      </c>
      <c r="G62" s="37">
        <v>0</v>
      </c>
      <c r="H62" s="37">
        <v>0</v>
      </c>
    </row>
    <row r="63" spans="1:9">
      <c r="A63" s="6">
        <f t="shared" si="11"/>
        <v>38</v>
      </c>
      <c r="B63" s="2" t="str">
        <f t="shared" si="10"/>
        <v>September</v>
      </c>
      <c r="C63" s="34">
        <v>0</v>
      </c>
      <c r="D63" s="34">
        <v>0</v>
      </c>
      <c r="E63" s="34">
        <v>0</v>
      </c>
      <c r="F63" s="34">
        <v>0</v>
      </c>
      <c r="G63" s="37">
        <v>0</v>
      </c>
      <c r="H63" s="37">
        <v>0</v>
      </c>
    </row>
    <row r="64" spans="1:9">
      <c r="A64" s="6">
        <f t="shared" si="11"/>
        <v>39</v>
      </c>
      <c r="B64" s="2" t="str">
        <f t="shared" si="10"/>
        <v>October</v>
      </c>
      <c r="C64" s="34">
        <v>0</v>
      </c>
      <c r="D64" s="34">
        <v>0</v>
      </c>
      <c r="E64" s="34">
        <v>0</v>
      </c>
      <c r="F64" s="34">
        <v>0</v>
      </c>
      <c r="G64" s="37">
        <v>0</v>
      </c>
      <c r="H64" s="37">
        <v>0</v>
      </c>
    </row>
    <row r="65" spans="1:8">
      <c r="A65" s="6">
        <f t="shared" si="11"/>
        <v>40</v>
      </c>
      <c r="B65" s="2" t="str">
        <f t="shared" si="10"/>
        <v>November</v>
      </c>
      <c r="C65" s="34">
        <v>0</v>
      </c>
      <c r="D65" s="34">
        <v>0</v>
      </c>
      <c r="E65" s="34">
        <v>0</v>
      </c>
      <c r="F65" s="34">
        <v>0</v>
      </c>
      <c r="G65" s="37">
        <v>0</v>
      </c>
      <c r="H65" s="37">
        <v>0</v>
      </c>
    </row>
    <row r="66" spans="1:8">
      <c r="A66" s="6">
        <f t="shared" si="11"/>
        <v>41</v>
      </c>
      <c r="B66" s="2" t="str">
        <f t="shared" si="10"/>
        <v>December '21</v>
      </c>
      <c r="C66" s="34">
        <v>0</v>
      </c>
      <c r="D66" s="34">
        <v>0</v>
      </c>
      <c r="E66" s="34">
        <v>0</v>
      </c>
      <c r="F66" s="34">
        <v>0</v>
      </c>
      <c r="G66" s="37">
        <v>0</v>
      </c>
      <c r="H66" s="37">
        <v>0</v>
      </c>
    </row>
    <row r="67" spans="1:8" ht="13.5" thickBot="1">
      <c r="A67" s="6">
        <f t="shared" si="11"/>
        <v>42</v>
      </c>
      <c r="B67" s="2" t="str">
        <f t="shared" si="10"/>
        <v>Average</v>
      </c>
      <c r="C67" s="25">
        <f t="shared" ref="C67:H67" si="12">SUM(C54:C66)/13</f>
        <v>0</v>
      </c>
      <c r="D67" s="25">
        <f t="shared" si="12"/>
        <v>0</v>
      </c>
      <c r="E67" s="25">
        <f t="shared" si="12"/>
        <v>0</v>
      </c>
      <c r="F67" s="25">
        <f t="shared" si="12"/>
        <v>0</v>
      </c>
      <c r="G67" s="25">
        <f t="shared" si="12"/>
        <v>0</v>
      </c>
      <c r="H67" s="25">
        <f t="shared" si="12"/>
        <v>0</v>
      </c>
    </row>
    <row r="68" spans="1:8" ht="15.75" thickTop="1">
      <c r="F68" s="7"/>
      <c r="G68" s="26"/>
    </row>
  </sheetData>
  <mergeCells count="9">
    <mergeCell ref="C48:H48"/>
    <mergeCell ref="I8:N8"/>
    <mergeCell ref="C28:N28"/>
    <mergeCell ref="I29:N29"/>
    <mergeCell ref="B2:O2"/>
    <mergeCell ref="C6:N6"/>
    <mergeCell ref="C26:N26"/>
    <mergeCell ref="B4:O4"/>
    <mergeCell ref="B3:O3"/>
  </mergeCells>
  <phoneticPr fontId="16" type="noConversion"/>
  <pageMargins left="0.7" right="0.7" top="0.75" bottom="0.75" header="0.3" footer="0.3"/>
  <pageSetup scale="34"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3"/>
  <sheetViews>
    <sheetView zoomScale="80" zoomScaleNormal="80" zoomScaleSheetLayoutView="90" zoomScalePageLayoutView="60" workbookViewId="0">
      <selection activeCell="E57" sqref="E57"/>
    </sheetView>
  </sheetViews>
  <sheetFormatPr defaultColWidth="9.140625" defaultRowHeight="12.75"/>
  <cols>
    <col min="1" max="1" width="5.5703125" style="9" customWidth="1"/>
    <col min="2" max="2" width="56.7109375" style="9" customWidth="1"/>
    <col min="3" max="3" width="45.85546875" style="9" customWidth="1"/>
    <col min="4" max="4" width="16.42578125" style="9" customWidth="1"/>
    <col min="5" max="5" width="19.85546875" style="9" customWidth="1"/>
    <col min="6" max="6" width="18.140625" style="9" customWidth="1"/>
    <col min="7" max="7" width="20.42578125" style="9" customWidth="1"/>
    <col min="8" max="8" width="17.42578125" style="9" customWidth="1"/>
    <col min="9" max="9" width="89.42578125" style="9" customWidth="1"/>
    <col min="10" max="10" width="24.28515625" style="10" customWidth="1"/>
    <col min="11" max="16384" width="9.140625" style="9"/>
  </cols>
  <sheetData>
    <row r="1" spans="1:9" ht="18">
      <c r="A1" s="64"/>
      <c r="B1" s="663" t="s">
        <v>576</v>
      </c>
      <c r="C1" s="664"/>
      <c r="D1" s="664"/>
      <c r="E1" s="664"/>
      <c r="F1" s="664"/>
      <c r="G1" s="664"/>
      <c r="H1" s="664"/>
      <c r="I1" s="664"/>
    </row>
    <row r="2" spans="1:9" ht="18">
      <c r="A2" s="66"/>
      <c r="B2" s="664" t="s">
        <v>654</v>
      </c>
      <c r="C2" s="664"/>
      <c r="D2" s="664"/>
      <c r="E2" s="664"/>
      <c r="F2" s="664"/>
      <c r="G2" s="664"/>
      <c r="H2" s="664"/>
      <c r="I2" s="664"/>
    </row>
    <row r="3" spans="1:9" ht="18">
      <c r="A3" s="64"/>
      <c r="B3" s="666" t="str">
        <f>+'Appendix A'!H3</f>
        <v>Projected ATRR or Actual ATRR for the 12 Months Ended 12/31/XXXX</v>
      </c>
      <c r="C3" s="666"/>
      <c r="D3" s="666"/>
      <c r="E3" s="666"/>
      <c r="F3" s="666"/>
      <c r="G3" s="666"/>
      <c r="H3" s="666"/>
      <c r="I3" s="666"/>
    </row>
    <row r="4" spans="1:9" ht="18">
      <c r="A4" s="64"/>
      <c r="B4" s="95"/>
      <c r="C4" s="95"/>
      <c r="D4" s="95"/>
      <c r="E4" s="95"/>
      <c r="F4" s="95"/>
      <c r="G4" s="95"/>
      <c r="H4" s="95"/>
      <c r="I4" s="95"/>
    </row>
    <row r="5" spans="1:9" ht="18">
      <c r="A5" s="64"/>
      <c r="B5" s="95"/>
      <c r="C5" s="95"/>
      <c r="D5" s="95"/>
      <c r="E5" s="95"/>
      <c r="F5" s="95"/>
      <c r="G5" s="95"/>
      <c r="H5" s="95"/>
      <c r="I5" s="95"/>
    </row>
    <row r="6" spans="1:9" ht="15.75">
      <c r="A6" s="64"/>
      <c r="B6" s="83" t="s">
        <v>68</v>
      </c>
      <c r="C6" s="83" t="s">
        <v>69</v>
      </c>
      <c r="D6" s="83" t="s">
        <v>70</v>
      </c>
      <c r="E6" s="83" t="s">
        <v>71</v>
      </c>
      <c r="F6" s="83" t="s">
        <v>72</v>
      </c>
      <c r="G6" s="83" t="s">
        <v>73</v>
      </c>
      <c r="H6" s="83" t="s">
        <v>74</v>
      </c>
      <c r="I6" s="83" t="s">
        <v>75</v>
      </c>
    </row>
    <row r="7" spans="1:9" ht="30.75">
      <c r="A7" s="64"/>
      <c r="B7" s="67"/>
      <c r="C7" s="64"/>
      <c r="D7" s="112" t="s">
        <v>489</v>
      </c>
      <c r="E7" s="70" t="s">
        <v>168</v>
      </c>
      <c r="F7" s="70" t="s">
        <v>169</v>
      </c>
      <c r="G7" s="70"/>
      <c r="H7" s="70" t="s">
        <v>9</v>
      </c>
      <c r="I7" s="72"/>
    </row>
    <row r="8" spans="1:9" ht="18">
      <c r="A8" s="64"/>
      <c r="B8" s="67"/>
      <c r="C8" s="76" t="s">
        <v>508</v>
      </c>
      <c r="D8" s="70"/>
      <c r="E8" s="70" t="s">
        <v>170</v>
      </c>
      <c r="F8" s="70" t="s">
        <v>170</v>
      </c>
      <c r="G8" s="70"/>
      <c r="H8" s="70" t="s">
        <v>171</v>
      </c>
      <c r="I8" s="72"/>
    </row>
    <row r="9" spans="1:9" ht="25.5">
      <c r="A9" s="73"/>
      <c r="B9" s="74"/>
      <c r="C9" s="76" t="s">
        <v>185</v>
      </c>
      <c r="D9" s="73"/>
      <c r="E9" s="73"/>
      <c r="F9" s="73"/>
      <c r="G9" s="73"/>
      <c r="H9" s="73"/>
      <c r="I9" s="73"/>
    </row>
    <row r="10" spans="1:9" ht="15.75">
      <c r="A10" s="75">
        <v>1</v>
      </c>
      <c r="B10" s="67"/>
      <c r="C10" s="76" t="s">
        <v>177</v>
      </c>
      <c r="D10" s="77">
        <f>+E42</f>
        <v>0</v>
      </c>
      <c r="E10" s="77">
        <f>+F42</f>
        <v>0</v>
      </c>
      <c r="F10" s="77">
        <f>+G42</f>
        <v>0</v>
      </c>
      <c r="G10" s="77"/>
      <c r="H10" s="77"/>
      <c r="I10" s="78" t="str">
        <f>"(Line "&amp;A42&amp;")"</f>
        <v>(Line 24)</v>
      </c>
    </row>
    <row r="11" spans="1:9" ht="15.75">
      <c r="A11" s="75">
        <f>+A10+1</f>
        <v>2</v>
      </c>
      <c r="B11" s="67"/>
      <c r="C11" s="76" t="s">
        <v>186</v>
      </c>
      <c r="D11" s="77" t="e">
        <f>+E62-E57</f>
        <v>#DIV/0!</v>
      </c>
      <c r="E11" s="77">
        <f>+F62-F57</f>
        <v>0</v>
      </c>
      <c r="F11" s="77">
        <f>+G62</f>
        <v>0</v>
      </c>
      <c r="G11" s="77"/>
      <c r="H11" s="77"/>
      <c r="I11" s="78" t="str">
        <f>"(Line "&amp;A62&amp;")"</f>
        <v>(Line 30)</v>
      </c>
    </row>
    <row r="12" spans="1:9" ht="15.75">
      <c r="A12" s="75">
        <f>+A11+1</f>
        <v>3</v>
      </c>
      <c r="B12" s="67"/>
      <c r="C12" s="76" t="s">
        <v>182</v>
      </c>
      <c r="D12" s="79">
        <f>+E85</f>
        <v>0</v>
      </c>
      <c r="E12" s="79">
        <f>+F85</f>
        <v>0</v>
      </c>
      <c r="F12" s="79">
        <f>+G85-G57</f>
        <v>0</v>
      </c>
      <c r="G12" s="79"/>
      <c r="H12" s="77"/>
      <c r="I12" s="78" t="str">
        <f>"(Line "&amp;A85&amp;")"</f>
        <v>(Line 38)</v>
      </c>
    </row>
    <row r="13" spans="1:9" ht="15.75">
      <c r="A13" s="75">
        <f t="shared" ref="A13:A20" si="0">+A12+1</f>
        <v>4</v>
      </c>
      <c r="B13" s="67"/>
      <c r="C13" s="76" t="s">
        <v>172</v>
      </c>
      <c r="D13" s="77" t="e">
        <f>+SUM(D10:D12)</f>
        <v>#DIV/0!</v>
      </c>
      <c r="E13" s="77">
        <f t="shared" ref="E13:F13" si="1">+SUM(E10:E12)</f>
        <v>0</v>
      </c>
      <c r="F13" s="77">
        <f t="shared" si="1"/>
        <v>0</v>
      </c>
      <c r="G13" s="77"/>
      <c r="H13" s="77"/>
      <c r="I13" s="78" t="str">
        <f>"(Line "&amp;A10&amp;" + Line "&amp;A11&amp;" + Line "&amp;A12&amp;")"</f>
        <v>(Line 1 + Line 2 + Line 3)</v>
      </c>
    </row>
    <row r="14" spans="1:9" ht="15.75">
      <c r="A14" s="75">
        <f t="shared" si="0"/>
        <v>5</v>
      </c>
      <c r="B14" s="67"/>
      <c r="C14" s="76" t="s">
        <v>438</v>
      </c>
      <c r="D14" s="64"/>
      <c r="E14" s="64"/>
      <c r="F14" s="300" t="e">
        <f>+'Appendix A'!D156</f>
        <v>#DIV/0!</v>
      </c>
      <c r="G14" s="64"/>
      <c r="H14" s="64"/>
      <c r="I14" s="78" t="s">
        <v>416</v>
      </c>
    </row>
    <row r="15" spans="1:9" ht="15.75">
      <c r="A15" s="75">
        <f t="shared" si="0"/>
        <v>6</v>
      </c>
      <c r="B15" s="67"/>
      <c r="C15" s="76" t="s">
        <v>187</v>
      </c>
      <c r="D15" s="64"/>
      <c r="E15" s="300" t="e">
        <f>+'Appendix A'!G20</f>
        <v>#DIV/0!</v>
      </c>
      <c r="F15" s="64"/>
      <c r="G15" s="64"/>
      <c r="H15" s="64"/>
      <c r="I15" s="78" t="s">
        <v>416</v>
      </c>
    </row>
    <row r="16" spans="1:9" ht="15.75">
      <c r="A16" s="75">
        <f>+A15+1</f>
        <v>7</v>
      </c>
      <c r="B16" s="67"/>
      <c r="C16" s="76" t="s">
        <v>173</v>
      </c>
      <c r="D16" s="557" t="e">
        <f>+D13</f>
        <v>#DIV/0!</v>
      </c>
      <c r="E16" s="77" t="e">
        <f>+E15*E13</f>
        <v>#DIV/0!</v>
      </c>
      <c r="F16" s="77" t="e">
        <f>+F14*F13</f>
        <v>#DIV/0!</v>
      </c>
      <c r="G16" s="77"/>
      <c r="H16" s="80" t="e">
        <f>SUM(D16:F16)</f>
        <v>#DIV/0!</v>
      </c>
      <c r="I16" s="78" t="str">
        <f>"(Line "&amp;A13&amp;" * Line "&amp;A14&amp;" or Line "&amp;A15&amp;")"</f>
        <v>(Line 4 * Line 5 or Line 6)</v>
      </c>
    </row>
    <row r="17" spans="1:9" ht="15.75">
      <c r="A17" s="75">
        <f t="shared" si="0"/>
        <v>8</v>
      </c>
      <c r="B17" s="67"/>
      <c r="C17" s="120" t="s">
        <v>437</v>
      </c>
      <c r="D17" s="591" t="e">
        <f>+'2b-ADIT Prior Year'!E56</f>
        <v>#DIV/0!</v>
      </c>
      <c r="E17" s="79" t="e">
        <f>+'2b-ADIT Prior Year'!E15</f>
        <v>#DIV/0!</v>
      </c>
      <c r="F17" s="79" t="e">
        <f>+'2b-ADIT Prior Year'!F15</f>
        <v>#DIV/0!</v>
      </c>
      <c r="G17" s="77"/>
      <c r="H17" s="558" t="e">
        <f t="shared" ref="H17" si="2">SUM(D17:F17)</f>
        <v>#DIV/0!</v>
      </c>
      <c r="I17" s="78" t="str">
        <f>"Workpaper 2b, Line "&amp;'2b-ADIT Prior Year'!A15&amp;""</f>
        <v>Workpaper 2b, Line 7</v>
      </c>
    </row>
    <row r="18" spans="1:9" ht="15.75">
      <c r="A18" s="75">
        <f t="shared" si="0"/>
        <v>9</v>
      </c>
      <c r="B18" s="67"/>
      <c r="C18" s="120" t="s">
        <v>509</v>
      </c>
      <c r="D18" s="77" t="e">
        <f>(D16+D17)/2</f>
        <v>#DIV/0!</v>
      </c>
      <c r="E18" s="77" t="e">
        <f>(E16+E17)/2</f>
        <v>#DIV/0!</v>
      </c>
      <c r="F18" s="77" t="e">
        <f>(F16+F17)/2</f>
        <v>#DIV/0!</v>
      </c>
      <c r="G18" s="77"/>
      <c r="H18" s="80" t="e">
        <f>SUM(D18:F18)</f>
        <v>#DIV/0!</v>
      </c>
      <c r="I18" s="78" t="str">
        <f>"(Average of Line "&amp;A16&amp;" + Line "&amp;A17&amp;")"</f>
        <v>(Average of Line 7 + Line 8)</v>
      </c>
    </row>
    <row r="19" spans="1:9" ht="15.75">
      <c r="A19" s="75">
        <f t="shared" si="0"/>
        <v>10</v>
      </c>
      <c r="B19" s="67"/>
      <c r="C19" s="120" t="s">
        <v>510</v>
      </c>
      <c r="D19" s="77"/>
      <c r="E19" s="77"/>
      <c r="F19" s="77"/>
      <c r="G19" s="77"/>
      <c r="H19" s="560" t="e">
        <f>+'2c-ADIT Proration Projected'!S24</f>
        <v>#DIV/0!</v>
      </c>
      <c r="I19" s="563" t="str">
        <f>"From Workpaper 2c, Line "&amp;'2c-ADIT Proration Projected'!A24&amp;", Col. "&amp;'2c-ADIT Proration Projected'!S8&amp;" or Workpaper 2d, Line "&amp;'2d-ADIT Proration Actual'!A28&amp;", Col. "&amp;'2d-ADIT Proration Actual'!P13&amp;""</f>
        <v>From Workpaper 2c, Line 14, Col. (r) or Workpaper 2d, Line 13, Col. (n)</v>
      </c>
    </row>
    <row r="20" spans="1:9" ht="15.75">
      <c r="A20" s="75">
        <f t="shared" si="0"/>
        <v>11</v>
      </c>
      <c r="B20" s="67"/>
      <c r="C20" s="120" t="s">
        <v>511</v>
      </c>
      <c r="D20" s="77"/>
      <c r="E20" s="77"/>
      <c r="F20" s="77"/>
      <c r="G20" s="77"/>
      <c r="H20" s="80" t="e">
        <f>+H18+H19</f>
        <v>#DIV/0!</v>
      </c>
      <c r="I20" s="78"/>
    </row>
    <row r="21" spans="1:9" ht="15.75">
      <c r="A21" s="64"/>
      <c r="B21" s="67"/>
      <c r="C21" s="81"/>
      <c r="D21" s="77"/>
      <c r="E21" s="77"/>
      <c r="F21" s="77"/>
      <c r="G21" s="80"/>
      <c r="H21" s="80"/>
      <c r="I21" s="82"/>
    </row>
    <row r="22" spans="1:9" ht="15.75">
      <c r="A22" s="64"/>
      <c r="B22" s="67"/>
      <c r="C22" s="81"/>
      <c r="D22" s="77"/>
      <c r="E22" s="77"/>
      <c r="F22" s="77"/>
      <c r="G22" s="80"/>
      <c r="H22" s="80"/>
      <c r="I22" s="82"/>
    </row>
    <row r="23" spans="1:9" ht="15.75">
      <c r="A23" s="64"/>
      <c r="B23" s="76"/>
      <c r="C23" s="64"/>
      <c r="D23" s="64"/>
      <c r="E23" s="64"/>
      <c r="F23" s="64"/>
      <c r="G23" s="64"/>
      <c r="H23" s="64"/>
      <c r="I23" s="64"/>
    </row>
    <row r="24" spans="1:9" ht="15">
      <c r="A24" s="64"/>
      <c r="B24" s="67" t="s">
        <v>174</v>
      </c>
      <c r="C24" s="64"/>
      <c r="D24" s="64"/>
      <c r="E24" s="64"/>
      <c r="F24" s="64"/>
      <c r="G24" s="64"/>
      <c r="H24" s="64"/>
      <c r="I24" s="64"/>
    </row>
    <row r="25" spans="1:9" ht="15">
      <c r="A25" s="64"/>
      <c r="B25" s="67" t="s">
        <v>175</v>
      </c>
      <c r="C25" s="64"/>
      <c r="D25" s="64"/>
      <c r="E25" s="64"/>
      <c r="F25" s="64"/>
      <c r="G25" s="64"/>
      <c r="H25" s="64"/>
      <c r="I25" s="64"/>
    </row>
    <row r="26" spans="1:9" ht="15">
      <c r="A26" s="64"/>
      <c r="B26" s="67"/>
      <c r="C26" s="64"/>
      <c r="D26" s="64"/>
      <c r="E26" s="64"/>
      <c r="F26" s="64"/>
      <c r="G26" s="81"/>
      <c r="H26" s="81"/>
      <c r="I26" s="64"/>
    </row>
    <row r="27" spans="1:9" ht="15.75">
      <c r="A27" s="64"/>
      <c r="B27" s="83" t="s">
        <v>68</v>
      </c>
      <c r="C27" s="83" t="s">
        <v>69</v>
      </c>
      <c r="D27" s="83" t="s">
        <v>70</v>
      </c>
      <c r="E27" s="83" t="s">
        <v>71</v>
      </c>
      <c r="F27" s="83" t="s">
        <v>72</v>
      </c>
      <c r="G27" s="83" t="s">
        <v>73</v>
      </c>
      <c r="H27" s="83" t="s">
        <v>74</v>
      </c>
      <c r="I27" s="83" t="s">
        <v>75</v>
      </c>
    </row>
    <row r="28" spans="1:9" ht="30">
      <c r="A28" s="64"/>
      <c r="B28" s="110" t="s">
        <v>540</v>
      </c>
      <c r="C28" s="70"/>
      <c r="D28" s="70"/>
      <c r="E28" s="112" t="str">
        <f>+D7</f>
        <v xml:space="preserve">Schedule 19 Projects </v>
      </c>
      <c r="F28" s="70" t="s">
        <v>168</v>
      </c>
      <c r="G28" s="70" t="s">
        <v>169</v>
      </c>
      <c r="H28" s="70"/>
      <c r="I28" s="64"/>
    </row>
    <row r="29" spans="1:9" ht="15.75" thickBot="1">
      <c r="A29" s="64"/>
      <c r="B29" s="67"/>
      <c r="C29" s="70" t="s">
        <v>9</v>
      </c>
      <c r="D29" s="70" t="s">
        <v>178</v>
      </c>
      <c r="E29" s="70" t="s">
        <v>170</v>
      </c>
      <c r="F29" s="70" t="s">
        <v>170</v>
      </c>
      <c r="G29" s="70" t="s">
        <v>170</v>
      </c>
      <c r="H29" s="70"/>
      <c r="I29" s="70" t="s">
        <v>179</v>
      </c>
    </row>
    <row r="30" spans="1:9" ht="15">
      <c r="A30" s="75">
        <f>+A20+1</f>
        <v>12</v>
      </c>
      <c r="B30" s="579"/>
      <c r="C30" s="185">
        <f>+SUM(D30:G30)</f>
        <v>0</v>
      </c>
      <c r="D30" s="117">
        <v>0</v>
      </c>
      <c r="E30" s="117">
        <v>0</v>
      </c>
      <c r="F30" s="117">
        <v>0</v>
      </c>
      <c r="G30" s="117">
        <v>0</v>
      </c>
      <c r="H30" s="186"/>
      <c r="I30" s="187"/>
    </row>
    <row r="31" spans="1:9" ht="15">
      <c r="A31" s="75">
        <f>+A30+1</f>
        <v>13</v>
      </c>
      <c r="B31" s="177"/>
      <c r="C31" s="180">
        <f t="shared" ref="C31:C41" si="3">+SUM(D31:G31)</f>
        <v>0</v>
      </c>
      <c r="D31" s="118">
        <v>0</v>
      </c>
      <c r="E31" s="118">
        <v>0</v>
      </c>
      <c r="F31" s="118">
        <v>0</v>
      </c>
      <c r="G31" s="118">
        <v>0</v>
      </c>
      <c r="H31" s="178"/>
      <c r="I31" s="86"/>
    </row>
    <row r="32" spans="1:9" ht="15">
      <c r="A32" s="75">
        <f t="shared" ref="A32:A40" si="4">+A31+1</f>
        <v>14</v>
      </c>
      <c r="B32" s="177"/>
      <c r="C32" s="180">
        <f t="shared" si="3"/>
        <v>0</v>
      </c>
      <c r="D32" s="118">
        <v>0</v>
      </c>
      <c r="E32" s="118">
        <v>0</v>
      </c>
      <c r="F32" s="118">
        <v>0</v>
      </c>
      <c r="G32" s="118">
        <v>0</v>
      </c>
      <c r="H32" s="178"/>
      <c r="I32" s="86"/>
    </row>
    <row r="33" spans="1:9" ht="15">
      <c r="A33" s="75">
        <f t="shared" si="4"/>
        <v>15</v>
      </c>
      <c r="B33" s="177"/>
      <c r="C33" s="180">
        <f t="shared" si="3"/>
        <v>0</v>
      </c>
      <c r="D33" s="118">
        <v>0</v>
      </c>
      <c r="E33" s="118">
        <v>0</v>
      </c>
      <c r="F33" s="118">
        <v>0</v>
      </c>
      <c r="G33" s="118">
        <v>0</v>
      </c>
      <c r="H33" s="178"/>
      <c r="I33" s="86"/>
    </row>
    <row r="34" spans="1:9" ht="15">
      <c r="A34" s="75">
        <f t="shared" si="4"/>
        <v>16</v>
      </c>
      <c r="B34" s="177"/>
      <c r="C34" s="180">
        <f t="shared" si="3"/>
        <v>0</v>
      </c>
      <c r="D34" s="118">
        <v>0</v>
      </c>
      <c r="E34" s="118">
        <v>0</v>
      </c>
      <c r="F34" s="118">
        <v>0</v>
      </c>
      <c r="G34" s="118">
        <v>0</v>
      </c>
      <c r="H34" s="178"/>
      <c r="I34" s="86"/>
    </row>
    <row r="35" spans="1:9" ht="15">
      <c r="A35" s="75">
        <f t="shared" si="4"/>
        <v>17</v>
      </c>
      <c r="B35" s="177"/>
      <c r="C35" s="180">
        <f t="shared" si="3"/>
        <v>0</v>
      </c>
      <c r="D35" s="118">
        <v>0</v>
      </c>
      <c r="E35" s="118">
        <v>0</v>
      </c>
      <c r="F35" s="118">
        <v>0</v>
      </c>
      <c r="G35" s="118">
        <v>0</v>
      </c>
      <c r="H35" s="178"/>
      <c r="I35" s="86"/>
    </row>
    <row r="36" spans="1:9" ht="15">
      <c r="A36" s="75">
        <f t="shared" si="4"/>
        <v>18</v>
      </c>
      <c r="B36" s="177"/>
      <c r="C36" s="180">
        <f t="shared" si="3"/>
        <v>0</v>
      </c>
      <c r="D36" s="118">
        <v>0</v>
      </c>
      <c r="E36" s="118">
        <v>0</v>
      </c>
      <c r="F36" s="118">
        <v>0</v>
      </c>
      <c r="G36" s="118">
        <v>0</v>
      </c>
      <c r="H36" s="178"/>
      <c r="I36" s="86"/>
    </row>
    <row r="37" spans="1:9" ht="15">
      <c r="A37" s="75">
        <f t="shared" si="4"/>
        <v>19</v>
      </c>
      <c r="B37" s="177"/>
      <c r="C37" s="180">
        <f t="shared" si="3"/>
        <v>0</v>
      </c>
      <c r="D37" s="118">
        <v>0</v>
      </c>
      <c r="E37" s="118">
        <v>0</v>
      </c>
      <c r="F37" s="118">
        <v>0</v>
      </c>
      <c r="G37" s="118">
        <v>0</v>
      </c>
      <c r="H37" s="178"/>
      <c r="I37" s="86"/>
    </row>
    <row r="38" spans="1:9" ht="15">
      <c r="A38" s="75">
        <f t="shared" si="4"/>
        <v>20</v>
      </c>
      <c r="B38" s="177"/>
      <c r="C38" s="180">
        <f t="shared" si="3"/>
        <v>0</v>
      </c>
      <c r="D38" s="118">
        <v>0</v>
      </c>
      <c r="E38" s="118">
        <v>0</v>
      </c>
      <c r="F38" s="118">
        <v>0</v>
      </c>
      <c r="G38" s="118">
        <v>0</v>
      </c>
      <c r="H38" s="178"/>
      <c r="I38" s="86"/>
    </row>
    <row r="39" spans="1:9" ht="15">
      <c r="A39" s="75">
        <f t="shared" si="4"/>
        <v>21</v>
      </c>
      <c r="B39" s="177"/>
      <c r="C39" s="180">
        <f t="shared" si="3"/>
        <v>0</v>
      </c>
      <c r="D39" s="118">
        <v>0</v>
      </c>
      <c r="E39" s="118">
        <v>0</v>
      </c>
      <c r="F39" s="118">
        <v>0</v>
      </c>
      <c r="G39" s="118">
        <v>0</v>
      </c>
      <c r="H39" s="178"/>
      <c r="I39" s="86"/>
    </row>
    <row r="40" spans="1:9" ht="15">
      <c r="A40" s="75">
        <f t="shared" si="4"/>
        <v>22</v>
      </c>
      <c r="B40" s="177"/>
      <c r="C40" s="180">
        <f t="shared" si="3"/>
        <v>0</v>
      </c>
      <c r="D40" s="118">
        <v>0</v>
      </c>
      <c r="E40" s="118">
        <v>0</v>
      </c>
      <c r="F40" s="118">
        <v>0</v>
      </c>
      <c r="G40" s="118">
        <v>0</v>
      </c>
      <c r="H40" s="178"/>
      <c r="I40" s="86"/>
    </row>
    <row r="41" spans="1:9" ht="15">
      <c r="A41" s="75">
        <f>+A40+1</f>
        <v>23</v>
      </c>
      <c r="B41" s="177"/>
      <c r="C41" s="180">
        <f t="shared" si="3"/>
        <v>0</v>
      </c>
      <c r="D41" s="118">
        <v>0</v>
      </c>
      <c r="E41" s="118">
        <v>0</v>
      </c>
      <c r="F41" s="118">
        <v>0</v>
      </c>
      <c r="G41" s="118">
        <v>0</v>
      </c>
      <c r="H41" s="178"/>
      <c r="I41" s="86"/>
    </row>
    <row r="42" spans="1:9" ht="16.5" thickBot="1">
      <c r="A42" s="75">
        <f>+A41+1</f>
        <v>24</v>
      </c>
      <c r="B42" s="88" t="s">
        <v>9</v>
      </c>
      <c r="C42" s="179">
        <f>+SUM(C30:C41)</f>
        <v>0</v>
      </c>
      <c r="D42" s="179">
        <f t="shared" ref="D42:G42" si="5">+SUM(D30:D41)</f>
        <v>0</v>
      </c>
      <c r="E42" s="179">
        <f t="shared" si="5"/>
        <v>0</v>
      </c>
      <c r="F42" s="179">
        <f t="shared" si="5"/>
        <v>0</v>
      </c>
      <c r="G42" s="179">
        <f t="shared" si="5"/>
        <v>0</v>
      </c>
      <c r="H42" s="89"/>
      <c r="I42" s="90"/>
    </row>
    <row r="43" spans="1:9" ht="15">
      <c r="A43" s="64"/>
      <c r="B43" s="64" t="s">
        <v>180</v>
      </c>
      <c r="C43" s="64"/>
      <c r="D43" s="77"/>
      <c r="E43" s="91"/>
      <c r="F43" s="75"/>
      <c r="G43" s="64"/>
      <c r="H43" s="64"/>
      <c r="I43" s="92"/>
    </row>
    <row r="44" spans="1:9" ht="15">
      <c r="A44" s="64"/>
      <c r="B44" s="67" t="s">
        <v>400</v>
      </c>
      <c r="C44" s="64"/>
      <c r="D44" s="64"/>
      <c r="E44" s="64"/>
      <c r="F44" s="64"/>
      <c r="G44" s="75"/>
      <c r="H44" s="75"/>
      <c r="I44" s="75"/>
    </row>
    <row r="45" spans="1:9" ht="15">
      <c r="A45" s="64"/>
      <c r="B45" s="67" t="s">
        <v>189</v>
      </c>
      <c r="C45" s="64"/>
      <c r="D45" s="64"/>
      <c r="E45" s="64"/>
      <c r="F45" s="64"/>
      <c r="G45" s="75"/>
      <c r="H45" s="75"/>
      <c r="I45" s="75"/>
    </row>
    <row r="46" spans="1:9" ht="15">
      <c r="A46" s="64"/>
      <c r="B46" s="67" t="s">
        <v>190</v>
      </c>
      <c r="C46" s="64"/>
      <c r="D46" s="64"/>
      <c r="E46" s="64"/>
      <c r="F46" s="64"/>
      <c r="G46" s="75"/>
      <c r="H46" s="75"/>
      <c r="I46" s="75"/>
    </row>
    <row r="47" spans="1:9" ht="15" customHeight="1">
      <c r="A47" s="64"/>
      <c r="B47" s="661" t="s">
        <v>191</v>
      </c>
      <c r="C47" s="661"/>
      <c r="D47" s="661"/>
      <c r="E47" s="661"/>
      <c r="F47" s="661"/>
      <c r="G47" s="661"/>
      <c r="H47" s="661"/>
      <c r="I47" s="661"/>
    </row>
    <row r="48" spans="1:9" ht="15">
      <c r="A48" s="64"/>
      <c r="B48" s="67" t="s">
        <v>188</v>
      </c>
      <c r="C48" s="75"/>
      <c r="D48" s="93"/>
      <c r="E48" s="75"/>
      <c r="F48" s="75"/>
      <c r="G48" s="75"/>
      <c r="H48" s="75"/>
      <c r="I48" s="94"/>
    </row>
    <row r="49" spans="1:9" ht="15.75">
      <c r="A49" s="64"/>
      <c r="B49" s="67"/>
      <c r="C49" s="83"/>
      <c r="D49" s="83"/>
      <c r="E49" s="83"/>
      <c r="F49" s="83"/>
      <c r="G49" s="83"/>
      <c r="H49" s="83"/>
      <c r="I49" s="94"/>
    </row>
    <row r="50" spans="1:9" ht="18">
      <c r="A50" s="66"/>
      <c r="B50" s="662" t="str">
        <f>+B1</f>
        <v>Central Hudson Gas and Electric Corporation</v>
      </c>
      <c r="C50" s="665"/>
      <c r="D50" s="665"/>
      <c r="E50" s="665"/>
      <c r="F50" s="665"/>
      <c r="G50" s="665"/>
      <c r="H50" s="665"/>
      <c r="I50" s="665"/>
    </row>
    <row r="51" spans="1:9" ht="18">
      <c r="A51" s="66"/>
      <c r="B51" s="662" t="str">
        <f>+B2</f>
        <v>Workpaper 2a: Accumulated Deferred Income Taxes (ADIT) Workpaper - Current Year</v>
      </c>
      <c r="C51" s="662"/>
      <c r="D51" s="662"/>
      <c r="E51" s="662"/>
      <c r="F51" s="662"/>
      <c r="G51" s="662"/>
      <c r="H51" s="662"/>
      <c r="I51" s="662"/>
    </row>
    <row r="52" spans="1:9" ht="18">
      <c r="A52" s="64"/>
      <c r="B52" s="70"/>
      <c r="C52" s="64"/>
      <c r="D52" s="64"/>
      <c r="E52" s="64"/>
      <c r="F52" s="64"/>
      <c r="G52" s="64"/>
      <c r="H52" s="64"/>
      <c r="I52" s="71"/>
    </row>
    <row r="53" spans="1:9" ht="15">
      <c r="A53" s="64"/>
    </row>
    <row r="54" spans="1:9" ht="15.75">
      <c r="A54" s="64"/>
      <c r="B54" s="83" t="s">
        <v>68</v>
      </c>
      <c r="C54" s="83" t="s">
        <v>69</v>
      </c>
      <c r="D54" s="83" t="s">
        <v>70</v>
      </c>
      <c r="E54" s="83" t="s">
        <v>71</v>
      </c>
      <c r="F54" s="83" t="s">
        <v>72</v>
      </c>
      <c r="G54" s="83" t="s">
        <v>73</v>
      </c>
      <c r="H54" s="83" t="s">
        <v>74</v>
      </c>
      <c r="I54" s="83" t="s">
        <v>75</v>
      </c>
    </row>
    <row r="55" spans="1:9" ht="30.75">
      <c r="A55" s="64"/>
      <c r="B55" s="114" t="s">
        <v>541</v>
      </c>
      <c r="C55" s="70" t="s">
        <v>9</v>
      </c>
      <c r="D55" s="70"/>
      <c r="E55" s="112" t="str">
        <f>+E28</f>
        <v xml:space="preserve">Schedule 19 Projects </v>
      </c>
      <c r="F55" s="70" t="s">
        <v>168</v>
      </c>
      <c r="G55" s="70" t="s">
        <v>169</v>
      </c>
      <c r="H55" s="70"/>
      <c r="I55" s="83"/>
    </row>
    <row r="56" spans="1:9" ht="15.75" thickBot="1">
      <c r="A56" s="64"/>
      <c r="B56" s="67"/>
      <c r="C56" s="70"/>
      <c r="D56" s="70" t="str">
        <f>+D29</f>
        <v>Excluded</v>
      </c>
      <c r="E56" s="70" t="s">
        <v>170</v>
      </c>
      <c r="F56" s="70" t="s">
        <v>170</v>
      </c>
      <c r="G56" s="70" t="s">
        <v>170</v>
      </c>
      <c r="H56" s="84"/>
      <c r="I56" s="70" t="s">
        <v>179</v>
      </c>
    </row>
    <row r="57" spans="1:9" ht="15">
      <c r="A57" s="64">
        <f>+A42+1</f>
        <v>25</v>
      </c>
      <c r="B57" s="96" t="s">
        <v>507</v>
      </c>
      <c r="C57" s="181" t="e">
        <f>+SUM(D57:G57)</f>
        <v>#DIV/0!</v>
      </c>
      <c r="D57" s="181">
        <v>0</v>
      </c>
      <c r="E57" s="182" t="e">
        <f>+'2c-ADIT Proration Projected'!S24</f>
        <v>#DIV/0!</v>
      </c>
      <c r="F57" s="182">
        <v>0</v>
      </c>
      <c r="G57" s="182">
        <v>0</v>
      </c>
      <c r="H57" s="97"/>
      <c r="I57" s="98" t="str">
        <f>"Workpaper 2c, Line "&amp;'2c-ADIT Proration Projected'!A24&amp;", Col. "&amp;'2c-ADIT Proration Projected'!S8&amp;""</f>
        <v>Workpaper 2c, Line 14, Col. (r)</v>
      </c>
    </row>
    <row r="58" spans="1:9" ht="15">
      <c r="A58" s="64">
        <f>+A57+1</f>
        <v>26</v>
      </c>
      <c r="B58" s="116"/>
      <c r="C58" s="183">
        <f>+SUM(D58:G58)</f>
        <v>0</v>
      </c>
      <c r="D58" s="183"/>
      <c r="E58" s="184">
        <v>0</v>
      </c>
      <c r="F58" s="184"/>
      <c r="G58" s="184"/>
      <c r="H58" s="85"/>
      <c r="I58" s="99"/>
    </row>
    <row r="59" spans="1:9" ht="15">
      <c r="A59" s="64">
        <f t="shared" ref="A59:A62" si="6">+A58+1</f>
        <v>27</v>
      </c>
      <c r="B59" s="116"/>
      <c r="C59" s="183">
        <f t="shared" ref="C59:C61" si="7">+SUM(D59:G59)</f>
        <v>0</v>
      </c>
      <c r="D59" s="183"/>
      <c r="E59" s="184"/>
      <c r="F59" s="184"/>
      <c r="G59" s="184"/>
      <c r="H59" s="85"/>
      <c r="I59" s="99"/>
    </row>
    <row r="60" spans="1:9" ht="15">
      <c r="A60" s="64">
        <f t="shared" si="6"/>
        <v>28</v>
      </c>
      <c r="B60" s="116"/>
      <c r="C60" s="183">
        <f t="shared" si="7"/>
        <v>0</v>
      </c>
      <c r="D60" s="183"/>
      <c r="E60" s="184"/>
      <c r="F60" s="184"/>
      <c r="G60" s="184"/>
      <c r="H60" s="85"/>
      <c r="I60" s="99"/>
    </row>
    <row r="61" spans="1:9" ht="15">
      <c r="A61" s="64">
        <f t="shared" si="6"/>
        <v>29</v>
      </c>
      <c r="B61" s="111"/>
      <c r="C61" s="183">
        <f t="shared" si="7"/>
        <v>0</v>
      </c>
      <c r="D61" s="118">
        <v>0</v>
      </c>
      <c r="E61" s="118">
        <v>0</v>
      </c>
      <c r="F61" s="118">
        <v>0</v>
      </c>
      <c r="G61" s="118">
        <v>0</v>
      </c>
      <c r="H61" s="87"/>
      <c r="I61" s="99"/>
    </row>
    <row r="62" spans="1:9" ht="16.5" thickBot="1">
      <c r="A62" s="64">
        <f t="shared" si="6"/>
        <v>30</v>
      </c>
      <c r="B62" s="88" t="s">
        <v>9</v>
      </c>
      <c r="C62" s="89" t="e">
        <f>+SUM(C57:C61)</f>
        <v>#DIV/0!</v>
      </c>
      <c r="D62" s="89">
        <f t="shared" ref="D62:G62" si="8">+SUM(D57:D61)</f>
        <v>0</v>
      </c>
      <c r="E62" s="89" t="e">
        <f t="shared" si="8"/>
        <v>#DIV/0!</v>
      </c>
      <c r="F62" s="89">
        <f t="shared" si="8"/>
        <v>0</v>
      </c>
      <c r="G62" s="89">
        <f t="shared" si="8"/>
        <v>0</v>
      </c>
      <c r="H62" s="89"/>
      <c r="I62" s="90"/>
    </row>
    <row r="63" spans="1:9" ht="15">
      <c r="A63" s="64"/>
      <c r="B63" s="64" t="s">
        <v>181</v>
      </c>
      <c r="C63" s="64"/>
      <c r="D63" s="64"/>
      <c r="E63" s="75"/>
      <c r="F63" s="91"/>
      <c r="G63" s="64"/>
      <c r="H63" s="64"/>
      <c r="I63" s="94"/>
    </row>
    <row r="64" spans="1:9" ht="15">
      <c r="A64" s="64"/>
      <c r="B64" s="67" t="s">
        <v>400</v>
      </c>
      <c r="C64" s="64"/>
      <c r="D64" s="64"/>
      <c r="E64" s="64"/>
      <c r="F64" s="64"/>
      <c r="G64" s="75"/>
      <c r="H64" s="75"/>
      <c r="I64" s="75"/>
    </row>
    <row r="65" spans="1:9" ht="15">
      <c r="A65" s="64"/>
      <c r="B65" s="67" t="s">
        <v>189</v>
      </c>
      <c r="C65" s="64"/>
      <c r="D65" s="64"/>
      <c r="E65" s="64"/>
      <c r="F65" s="64"/>
      <c r="G65" s="75"/>
      <c r="H65" s="75"/>
      <c r="I65" s="75"/>
    </row>
    <row r="66" spans="1:9" ht="15">
      <c r="A66" s="64"/>
      <c r="B66" s="67" t="s">
        <v>190</v>
      </c>
      <c r="C66" s="64"/>
      <c r="D66" s="64"/>
      <c r="E66" s="64"/>
      <c r="F66" s="64"/>
      <c r="G66" s="75"/>
      <c r="H66" s="75"/>
      <c r="I66" s="75"/>
    </row>
    <row r="67" spans="1:9" ht="15" customHeight="1">
      <c r="A67" s="64"/>
      <c r="B67" s="661" t="s">
        <v>191</v>
      </c>
      <c r="C67" s="661"/>
      <c r="D67" s="661"/>
      <c r="E67" s="661"/>
      <c r="F67" s="661"/>
      <c r="G67" s="661"/>
      <c r="H67" s="661"/>
      <c r="I67" s="661"/>
    </row>
    <row r="68" spans="1:9" ht="15" customHeight="1">
      <c r="A68" s="64"/>
      <c r="B68" s="67" t="s">
        <v>188</v>
      </c>
      <c r="C68" s="75"/>
      <c r="D68" s="93"/>
      <c r="E68" s="75"/>
      <c r="F68" s="75"/>
      <c r="G68" s="75"/>
      <c r="H68" s="75"/>
      <c r="I68" s="94"/>
    </row>
    <row r="69" spans="1:9" ht="15">
      <c r="A69" s="64"/>
      <c r="B69" s="67"/>
      <c r="C69" s="64"/>
      <c r="D69" s="64"/>
      <c r="E69" s="64"/>
      <c r="F69" s="75"/>
      <c r="G69" s="75"/>
      <c r="H69" s="75"/>
      <c r="I69" s="175"/>
    </row>
    <row r="70" spans="1:9" ht="15">
      <c r="A70" s="64"/>
      <c r="B70" s="67"/>
      <c r="C70" s="64"/>
      <c r="D70" s="64"/>
      <c r="E70" s="64"/>
      <c r="F70" s="75"/>
      <c r="G70" s="75"/>
      <c r="H70" s="75"/>
      <c r="I70" s="175"/>
    </row>
    <row r="71" spans="1:9" ht="15.75">
      <c r="A71" s="64"/>
      <c r="B71" s="83"/>
      <c r="C71" s="64"/>
      <c r="D71" s="64"/>
      <c r="E71" s="64"/>
      <c r="F71" s="64"/>
      <c r="G71" s="64"/>
      <c r="H71" s="64"/>
      <c r="I71" s="75"/>
    </row>
    <row r="72" spans="1:9" ht="18">
      <c r="A72" s="66"/>
      <c r="B72" s="100" t="str">
        <f>B1</f>
        <v>Central Hudson Gas and Electric Corporation</v>
      </c>
      <c r="C72" s="101"/>
      <c r="D72" s="101"/>
      <c r="E72" s="101"/>
      <c r="F72" s="101"/>
      <c r="G72" s="101"/>
      <c r="H72" s="101"/>
      <c r="I72" s="101"/>
    </row>
    <row r="73" spans="1:9" ht="18">
      <c r="A73" s="66"/>
      <c r="B73" s="662" t="str">
        <f>+B2</f>
        <v>Workpaper 2a: Accumulated Deferred Income Taxes (ADIT) Workpaper - Current Year</v>
      </c>
      <c r="C73" s="662"/>
      <c r="D73" s="662"/>
      <c r="E73" s="662"/>
      <c r="F73" s="662"/>
      <c r="G73" s="662"/>
      <c r="H73" s="662"/>
      <c r="I73" s="662"/>
    </row>
    <row r="74" spans="1:9" ht="18.75">
      <c r="A74" s="66"/>
      <c r="B74" s="102"/>
      <c r="C74" s="66"/>
      <c r="D74" s="66"/>
      <c r="E74" s="66"/>
      <c r="F74" s="66"/>
      <c r="G74" s="103"/>
      <c r="H74" s="103"/>
      <c r="I74" s="104"/>
    </row>
    <row r="75" spans="1:9" ht="15.75">
      <c r="A75" s="64"/>
      <c r="B75" s="83" t="s">
        <v>68</v>
      </c>
      <c r="C75" s="83" t="s">
        <v>69</v>
      </c>
      <c r="D75" s="83" t="s">
        <v>70</v>
      </c>
      <c r="E75" s="83" t="s">
        <v>71</v>
      </c>
      <c r="F75" s="83" t="s">
        <v>72</v>
      </c>
      <c r="G75" s="83" t="s">
        <v>73</v>
      </c>
      <c r="H75" s="83" t="s">
        <v>74</v>
      </c>
      <c r="I75" s="83" t="s">
        <v>75</v>
      </c>
    </row>
    <row r="76" spans="1:9" ht="31.5">
      <c r="A76" s="64"/>
      <c r="B76" s="114" t="s">
        <v>542</v>
      </c>
      <c r="C76" s="83" t="s">
        <v>9</v>
      </c>
      <c r="D76" s="105"/>
      <c r="E76" s="113" t="str">
        <f>+E55</f>
        <v xml:space="preserve">Schedule 19 Projects </v>
      </c>
      <c r="F76" s="105" t="s">
        <v>168</v>
      </c>
      <c r="G76" s="105" t="s">
        <v>169</v>
      </c>
      <c r="H76" s="83"/>
      <c r="I76" s="64"/>
    </row>
    <row r="77" spans="1:9" ht="15.75">
      <c r="A77" s="64"/>
      <c r="B77" s="67"/>
      <c r="C77" s="83"/>
      <c r="D77" s="83" t="str">
        <f>+D56</f>
        <v>Excluded</v>
      </c>
      <c r="E77" s="83" t="s">
        <v>170</v>
      </c>
      <c r="F77" s="83"/>
      <c r="G77" s="83"/>
      <c r="H77" s="83"/>
      <c r="I77" s="70" t="s">
        <v>179</v>
      </c>
    </row>
    <row r="78" spans="1:9" ht="15">
      <c r="A78" s="75">
        <f>+A62+1</f>
        <v>31</v>
      </c>
      <c r="B78" s="188"/>
      <c r="C78" s="118">
        <f>+SUM(D78:G78)</f>
        <v>0</v>
      </c>
      <c r="D78" s="118"/>
      <c r="E78" s="118">
        <v>0</v>
      </c>
      <c r="F78" s="118">
        <v>0</v>
      </c>
      <c r="G78" s="118">
        <v>0</v>
      </c>
      <c r="H78" s="301"/>
      <c r="I78" s="189"/>
    </row>
    <row r="79" spans="1:9" ht="15">
      <c r="A79" s="75">
        <f>+A78+1</f>
        <v>32</v>
      </c>
      <c r="B79" s="188"/>
      <c r="C79" s="118">
        <f t="shared" ref="C79:C84" si="9">+SUM(D79:G79)</f>
        <v>0</v>
      </c>
      <c r="D79" s="118"/>
      <c r="E79" s="118">
        <v>0</v>
      </c>
      <c r="F79" s="118"/>
      <c r="G79" s="118"/>
      <c r="H79" s="301"/>
      <c r="I79" s="189"/>
    </row>
    <row r="80" spans="1:9" ht="15">
      <c r="A80" s="75">
        <f t="shared" ref="A80:A83" si="10">+A79+1</f>
        <v>33</v>
      </c>
      <c r="B80" s="188"/>
      <c r="C80" s="118">
        <f t="shared" si="9"/>
        <v>0</v>
      </c>
      <c r="D80" s="118"/>
      <c r="E80" s="118"/>
      <c r="F80" s="118"/>
      <c r="G80" s="118"/>
      <c r="H80" s="301"/>
      <c r="I80" s="189"/>
    </row>
    <row r="81" spans="1:9" ht="15">
      <c r="A81" s="75">
        <f t="shared" si="10"/>
        <v>34</v>
      </c>
      <c r="B81" s="188"/>
      <c r="C81" s="118">
        <f t="shared" si="9"/>
        <v>0</v>
      </c>
      <c r="D81" s="118"/>
      <c r="E81" s="118"/>
      <c r="F81" s="118"/>
      <c r="G81" s="118"/>
      <c r="H81" s="301"/>
      <c r="I81" s="189"/>
    </row>
    <row r="82" spans="1:9" ht="15">
      <c r="A82" s="75">
        <f t="shared" si="10"/>
        <v>35</v>
      </c>
      <c r="B82" s="188"/>
      <c r="C82" s="118">
        <f t="shared" si="9"/>
        <v>0</v>
      </c>
      <c r="D82" s="118"/>
      <c r="E82" s="118"/>
      <c r="F82" s="118"/>
      <c r="G82" s="118"/>
      <c r="H82" s="301"/>
      <c r="I82" s="189"/>
    </row>
    <row r="83" spans="1:9" ht="15">
      <c r="A83" s="75">
        <f t="shared" si="10"/>
        <v>36</v>
      </c>
      <c r="B83" s="188"/>
      <c r="C83" s="118">
        <f t="shared" si="9"/>
        <v>0</v>
      </c>
      <c r="D83" s="118"/>
      <c r="E83" s="118"/>
      <c r="F83" s="118"/>
      <c r="G83" s="118"/>
      <c r="H83" s="301"/>
      <c r="I83" s="189"/>
    </row>
    <row r="84" spans="1:9" ht="15">
      <c r="A84" s="75">
        <f>+A83+1</f>
        <v>37</v>
      </c>
      <c r="B84" s="188"/>
      <c r="C84" s="118">
        <f t="shared" si="9"/>
        <v>0</v>
      </c>
      <c r="D84" s="118"/>
      <c r="E84" s="118"/>
      <c r="F84" s="118"/>
      <c r="G84" s="118"/>
      <c r="H84" s="301"/>
      <c r="I84" s="189"/>
    </row>
    <row r="85" spans="1:9" ht="15.75">
      <c r="A85" s="75">
        <f>+A84+1</f>
        <v>38</v>
      </c>
      <c r="B85" s="190" t="s">
        <v>9</v>
      </c>
      <c r="C85" s="191">
        <f>+SUM(C78:C84)</f>
        <v>0</v>
      </c>
      <c r="D85" s="191">
        <f t="shared" ref="D85:G85" si="11">+SUM(D78:D84)</f>
        <v>0</v>
      </c>
      <c r="E85" s="191">
        <f t="shared" si="11"/>
        <v>0</v>
      </c>
      <c r="F85" s="191">
        <f t="shared" si="11"/>
        <v>0</v>
      </c>
      <c r="G85" s="191">
        <f t="shared" si="11"/>
        <v>0</v>
      </c>
      <c r="H85" s="191"/>
      <c r="I85" s="192"/>
    </row>
    <row r="86" spans="1:9" ht="15">
      <c r="A86" s="64"/>
      <c r="B86" s="67"/>
      <c r="C86" s="77"/>
      <c r="D86" s="77"/>
      <c r="E86" s="77"/>
      <c r="F86" s="77"/>
      <c r="G86" s="77"/>
      <c r="H86" s="77"/>
      <c r="I86" s="94"/>
    </row>
    <row r="87" spans="1:9" ht="15">
      <c r="A87" s="64"/>
      <c r="B87" s="64" t="s">
        <v>183</v>
      </c>
      <c r="C87" s="64"/>
      <c r="D87" s="64"/>
      <c r="E87" s="75"/>
      <c r="F87" s="75"/>
      <c r="G87" s="64"/>
      <c r="H87" s="64"/>
      <c r="I87" s="75"/>
    </row>
    <row r="88" spans="1:9" ht="15">
      <c r="A88" s="64"/>
      <c r="B88" s="67" t="s">
        <v>400</v>
      </c>
      <c r="C88" s="64"/>
      <c r="D88" s="64"/>
      <c r="E88" s="64"/>
      <c r="F88" s="64"/>
      <c r="G88" s="75"/>
      <c r="H88" s="75"/>
      <c r="I88" s="75"/>
    </row>
    <row r="89" spans="1:9" ht="15">
      <c r="A89" s="64"/>
      <c r="B89" s="67" t="s">
        <v>189</v>
      </c>
      <c r="C89" s="64"/>
      <c r="D89" s="64"/>
      <c r="E89" s="64"/>
      <c r="F89" s="64"/>
      <c r="G89" s="75"/>
      <c r="H89" s="75"/>
      <c r="I89" s="75"/>
    </row>
    <row r="90" spans="1:9" ht="15">
      <c r="A90" s="64"/>
      <c r="B90" s="67" t="s">
        <v>190</v>
      </c>
      <c r="C90" s="64"/>
      <c r="D90" s="64"/>
      <c r="E90" s="64"/>
      <c r="F90" s="64"/>
      <c r="G90" s="75"/>
      <c r="H90" s="75"/>
      <c r="I90" s="75"/>
    </row>
    <row r="91" spans="1:9" ht="15">
      <c r="A91" s="64"/>
      <c r="B91" s="661" t="s">
        <v>191</v>
      </c>
      <c r="C91" s="661"/>
      <c r="D91" s="661"/>
      <c r="E91" s="661"/>
      <c r="F91" s="661"/>
      <c r="G91" s="661"/>
      <c r="H91" s="661"/>
      <c r="I91" s="661"/>
    </row>
    <row r="92" spans="1:9" ht="15" customHeight="1">
      <c r="A92" s="64"/>
      <c r="B92" s="67" t="s">
        <v>188</v>
      </c>
      <c r="C92" s="75"/>
      <c r="D92" s="93"/>
      <c r="E92" s="75"/>
      <c r="F92" s="75"/>
      <c r="G92" s="75"/>
      <c r="H92" s="75"/>
      <c r="I92" s="94"/>
    </row>
    <row r="93" spans="1:9" ht="15">
      <c r="I93" s="175"/>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I86"/>
  <sheetViews>
    <sheetView zoomScale="70" zoomScaleNormal="70" zoomScalePageLayoutView="80" workbookViewId="0">
      <selection activeCell="E51" sqref="E51"/>
    </sheetView>
  </sheetViews>
  <sheetFormatPr defaultRowHeight="15"/>
  <cols>
    <col min="1" max="1" width="5.5703125" customWidth="1"/>
    <col min="2" max="2" width="56.7109375" customWidth="1"/>
    <col min="3" max="3" width="45.85546875" customWidth="1"/>
    <col min="4" max="4" width="16.42578125" customWidth="1"/>
    <col min="5" max="5" width="19.85546875" customWidth="1"/>
    <col min="6" max="6" width="18.140625" customWidth="1"/>
    <col min="7" max="7" width="14.42578125" customWidth="1"/>
    <col min="8" max="8" width="17.42578125" customWidth="1"/>
    <col min="9" max="9" width="89.42578125" customWidth="1"/>
  </cols>
  <sheetData>
    <row r="1" spans="1:9" ht="18">
      <c r="A1" s="64"/>
      <c r="B1" s="664" t="s">
        <v>576</v>
      </c>
      <c r="C1" s="664"/>
      <c r="D1" s="664"/>
      <c r="E1" s="664"/>
      <c r="F1" s="664"/>
      <c r="G1" s="664"/>
      <c r="H1" s="664"/>
      <c r="I1" s="664"/>
    </row>
    <row r="2" spans="1:9" ht="18">
      <c r="A2" s="66"/>
      <c r="B2" s="664" t="s">
        <v>655</v>
      </c>
      <c r="C2" s="664"/>
      <c r="D2" s="664"/>
      <c r="E2" s="664"/>
      <c r="F2" s="664"/>
      <c r="G2" s="664"/>
      <c r="H2" s="664"/>
      <c r="I2" s="664"/>
    </row>
    <row r="3" spans="1:9" ht="18">
      <c r="A3" s="64"/>
      <c r="B3" s="666" t="str">
        <f>+'Appendix A'!H3</f>
        <v>Projected ATRR or Actual ATRR for the 12 Months Ended 12/31/XXXX</v>
      </c>
      <c r="C3" s="666"/>
      <c r="D3" s="666"/>
      <c r="E3" s="666"/>
      <c r="F3" s="666"/>
      <c r="G3" s="666"/>
      <c r="H3" s="666"/>
      <c r="I3" s="666"/>
    </row>
    <row r="4" spans="1:9" ht="18">
      <c r="A4" s="64"/>
      <c r="B4" s="68"/>
      <c r="C4" s="69"/>
      <c r="D4" s="70"/>
      <c r="E4" s="70"/>
      <c r="F4" s="64"/>
      <c r="G4" s="70"/>
      <c r="H4" s="70"/>
      <c r="I4" s="71"/>
    </row>
    <row r="5" spans="1:9" ht="15.75">
      <c r="A5" s="64"/>
      <c r="B5" s="83" t="s">
        <v>68</v>
      </c>
      <c r="C5" s="83" t="s">
        <v>69</v>
      </c>
      <c r="D5" s="83" t="s">
        <v>70</v>
      </c>
      <c r="E5" s="83" t="s">
        <v>71</v>
      </c>
      <c r="F5" s="83" t="s">
        <v>72</v>
      </c>
      <c r="G5" s="83" t="s">
        <v>73</v>
      </c>
      <c r="H5" s="83" t="s">
        <v>74</v>
      </c>
      <c r="I5" s="83" t="s">
        <v>75</v>
      </c>
    </row>
    <row r="6" spans="1:9" ht="30.75">
      <c r="A6" s="64"/>
      <c r="B6" s="67"/>
      <c r="C6" s="64"/>
      <c r="D6" s="112" t="s">
        <v>490</v>
      </c>
      <c r="E6" s="70" t="s">
        <v>168</v>
      </c>
      <c r="F6" s="70" t="s">
        <v>169</v>
      </c>
      <c r="G6" s="70"/>
      <c r="H6" s="70" t="s">
        <v>9</v>
      </c>
      <c r="I6" s="72"/>
    </row>
    <row r="7" spans="1:9" ht="18">
      <c r="A7" s="64"/>
      <c r="B7" s="67"/>
      <c r="C7" s="76" t="s">
        <v>508</v>
      </c>
      <c r="D7" s="70"/>
      <c r="E7" s="70" t="s">
        <v>170</v>
      </c>
      <c r="F7" s="70" t="s">
        <v>170</v>
      </c>
      <c r="G7" s="70"/>
      <c r="H7" s="70" t="s">
        <v>171</v>
      </c>
      <c r="I7" s="72"/>
    </row>
    <row r="8" spans="1:9" ht="25.5">
      <c r="A8" s="73"/>
      <c r="B8" s="74"/>
      <c r="C8" s="76" t="s">
        <v>229</v>
      </c>
      <c r="D8" s="73"/>
      <c r="E8" s="73"/>
      <c r="F8" s="73"/>
      <c r="G8" s="73"/>
      <c r="H8" s="73"/>
      <c r="I8" s="73"/>
    </row>
    <row r="9" spans="1:9" ht="15.75">
      <c r="A9" s="75">
        <v>1</v>
      </c>
      <c r="B9" s="67"/>
      <c r="C9" s="76" t="s">
        <v>177</v>
      </c>
      <c r="D9" s="77">
        <f>+E36</f>
        <v>0</v>
      </c>
      <c r="E9" s="77">
        <f>+F36</f>
        <v>0</v>
      </c>
      <c r="F9" s="77">
        <f>+G36</f>
        <v>0</v>
      </c>
      <c r="G9" s="77"/>
      <c r="H9" s="77"/>
      <c r="I9" s="78" t="str">
        <f>"(Line "&amp;A36&amp;")"</f>
        <v>(Line 20)</v>
      </c>
    </row>
    <row r="10" spans="1:9" ht="15.75">
      <c r="A10" s="75">
        <f>+A9+1</f>
        <v>2</v>
      </c>
      <c r="B10" s="67"/>
      <c r="C10" s="76" t="s">
        <v>186</v>
      </c>
      <c r="D10" s="559">
        <v>0</v>
      </c>
      <c r="E10" s="77">
        <f>+F56</f>
        <v>0</v>
      </c>
      <c r="F10" s="77">
        <f>+G56</f>
        <v>0</v>
      </c>
      <c r="G10" s="77"/>
      <c r="H10" s="77"/>
      <c r="I10" s="78" t="str">
        <f>"(Line "&amp;A56&amp;")"</f>
        <v>(Line 26)</v>
      </c>
    </row>
    <row r="11" spans="1:9" ht="15.75">
      <c r="A11" s="75">
        <f>+A10+1</f>
        <v>3</v>
      </c>
      <c r="B11" s="67"/>
      <c r="C11" s="76" t="s">
        <v>182</v>
      </c>
      <c r="D11" s="79">
        <f>+E79</f>
        <v>0</v>
      </c>
      <c r="E11" s="79">
        <f>+F79</f>
        <v>0</v>
      </c>
      <c r="F11" s="79">
        <f>+G79</f>
        <v>0</v>
      </c>
      <c r="G11" s="79"/>
      <c r="H11" s="77"/>
      <c r="I11" s="78" t="str">
        <f>"(Line "&amp;A79&amp;")"</f>
        <v>(Line 34)</v>
      </c>
    </row>
    <row r="12" spans="1:9" ht="15.75">
      <c r="A12" s="75">
        <f t="shared" ref="A12:A14" si="0">+A11+1</f>
        <v>4</v>
      </c>
      <c r="B12" s="67"/>
      <c r="C12" s="76" t="s">
        <v>172</v>
      </c>
      <c r="D12" s="77">
        <f>+SUM(D9:D11)</f>
        <v>0</v>
      </c>
      <c r="E12" s="77">
        <f t="shared" ref="E12:F12" si="1">+SUM(E9:E11)</f>
        <v>0</v>
      </c>
      <c r="F12" s="77">
        <f t="shared" si="1"/>
        <v>0</v>
      </c>
      <c r="G12" s="77"/>
      <c r="H12" s="77"/>
      <c r="I12" s="78" t="str">
        <f>"(Line "&amp;A9&amp;" + Line "&amp;A10&amp;" + Line "&amp;A11&amp;")"</f>
        <v>(Line 1 + Line 2 + Line 3)</v>
      </c>
    </row>
    <row r="13" spans="1:9" ht="15.75">
      <c r="A13" s="75">
        <f t="shared" si="0"/>
        <v>5</v>
      </c>
      <c r="B13" s="67"/>
      <c r="C13" s="76" t="s">
        <v>438</v>
      </c>
      <c r="D13" s="64"/>
      <c r="E13" s="64"/>
      <c r="F13" s="300" t="e">
        <f>+'Appendix A'!D156</f>
        <v>#DIV/0!</v>
      </c>
      <c r="G13" s="64"/>
      <c r="H13" s="64"/>
      <c r="I13" s="78" t="s">
        <v>416</v>
      </c>
    </row>
    <row r="14" spans="1:9" ht="15.75">
      <c r="A14" s="75">
        <f t="shared" si="0"/>
        <v>6</v>
      </c>
      <c r="B14" s="67"/>
      <c r="C14" s="76" t="s">
        <v>187</v>
      </c>
      <c r="D14" s="64"/>
      <c r="E14" s="300" t="e">
        <f>+'Appendix A'!G20</f>
        <v>#DIV/0!</v>
      </c>
      <c r="F14" s="64"/>
      <c r="G14" s="64"/>
      <c r="H14" s="64"/>
      <c r="I14" s="78" t="s">
        <v>416</v>
      </c>
    </row>
    <row r="15" spans="1:9" ht="15.75">
      <c r="A15" s="75">
        <f>+A14+1</f>
        <v>7</v>
      </c>
      <c r="B15" s="67"/>
      <c r="C15" s="76" t="s">
        <v>339</v>
      </c>
      <c r="D15" s="77">
        <f>+D12</f>
        <v>0</v>
      </c>
      <c r="E15" s="77" t="e">
        <f>+E14*E12</f>
        <v>#DIV/0!</v>
      </c>
      <c r="F15" s="77" t="e">
        <f>+F13*F12</f>
        <v>#DIV/0!</v>
      </c>
      <c r="G15" s="77"/>
      <c r="H15" s="80" t="e">
        <f>SUM(D15:F15)</f>
        <v>#DIV/0!</v>
      </c>
      <c r="I15" s="78" t="str">
        <f>"(Line "&amp;A12&amp;" * Line "&amp;A13&amp;" or Line "&amp;A14&amp;")"</f>
        <v>(Line 4 * Line 5 or Line 6)</v>
      </c>
    </row>
    <row r="18" spans="1:9" ht="15.75">
      <c r="A18" s="64"/>
      <c r="B18" s="67" t="s">
        <v>174</v>
      </c>
      <c r="C18" s="64"/>
      <c r="D18" s="64"/>
      <c r="E18" s="64"/>
      <c r="F18" s="64"/>
      <c r="G18" s="64"/>
      <c r="H18" s="64"/>
      <c r="I18" s="64"/>
    </row>
    <row r="19" spans="1:9" ht="15.75">
      <c r="A19" s="64"/>
      <c r="B19" s="67" t="s">
        <v>175</v>
      </c>
      <c r="C19" s="64"/>
      <c r="D19" s="64"/>
      <c r="E19" s="64"/>
      <c r="F19" s="64"/>
      <c r="G19" s="64"/>
      <c r="H19" s="64"/>
      <c r="I19" s="64"/>
    </row>
    <row r="20" spans="1:9" ht="15.75">
      <c r="A20" s="64"/>
      <c r="B20" s="67"/>
      <c r="C20" s="64"/>
      <c r="D20" s="64"/>
      <c r="E20" s="64"/>
      <c r="F20" s="64"/>
      <c r="G20" s="81"/>
      <c r="H20" s="81"/>
      <c r="I20" s="64"/>
    </row>
    <row r="21" spans="1:9" ht="15.75">
      <c r="A21" s="64"/>
      <c r="B21" s="122" t="s">
        <v>68</v>
      </c>
      <c r="C21" s="122" t="s">
        <v>69</v>
      </c>
      <c r="D21" s="122" t="s">
        <v>70</v>
      </c>
      <c r="E21" s="122" t="s">
        <v>71</v>
      </c>
      <c r="F21" s="122" t="s">
        <v>72</v>
      </c>
      <c r="G21" s="122" t="s">
        <v>73</v>
      </c>
      <c r="H21" s="122" t="s">
        <v>74</v>
      </c>
      <c r="I21" s="122" t="s">
        <v>75</v>
      </c>
    </row>
    <row r="22" spans="1:9" ht="30.75">
      <c r="A22" s="64"/>
      <c r="B22" s="110" t="s">
        <v>540</v>
      </c>
      <c r="C22" s="70"/>
      <c r="D22" s="70"/>
      <c r="E22" s="112" t="s">
        <v>490</v>
      </c>
      <c r="F22" s="70" t="s">
        <v>168</v>
      </c>
      <c r="G22" s="70" t="s">
        <v>169</v>
      </c>
      <c r="H22" s="70"/>
      <c r="I22" s="64"/>
    </row>
    <row r="23" spans="1:9" ht="16.5" thickBot="1">
      <c r="A23" s="64"/>
      <c r="B23" s="67"/>
      <c r="C23" s="70" t="s">
        <v>9</v>
      </c>
      <c r="D23" s="70" t="s">
        <v>178</v>
      </c>
      <c r="E23" s="70" t="s">
        <v>170</v>
      </c>
      <c r="F23" s="70" t="s">
        <v>170</v>
      </c>
      <c r="G23" s="70" t="s">
        <v>170</v>
      </c>
      <c r="H23" s="84"/>
      <c r="I23" s="70" t="s">
        <v>179</v>
      </c>
    </row>
    <row r="24" spans="1:9" ht="16.5" thickBot="1">
      <c r="A24" s="75">
        <f>+A15+1</f>
        <v>8</v>
      </c>
      <c r="B24" s="579"/>
      <c r="C24" s="185">
        <f>+SUM(D24:G24)</f>
        <v>0</v>
      </c>
      <c r="D24" s="117">
        <v>0</v>
      </c>
      <c r="E24" s="117">
        <v>0</v>
      </c>
      <c r="F24" s="117">
        <v>0</v>
      </c>
      <c r="G24" s="117">
        <v>0</v>
      </c>
      <c r="H24" s="85"/>
      <c r="I24" s="86"/>
    </row>
    <row r="25" spans="1:9" ht="15.75">
      <c r="A25" s="75">
        <f>+A24+1</f>
        <v>9</v>
      </c>
      <c r="B25" s="579"/>
      <c r="C25" s="180">
        <f t="shared" ref="C25:C35" si="2">+SUM(D25:G25)</f>
        <v>0</v>
      </c>
      <c r="D25" s="118">
        <v>0</v>
      </c>
      <c r="E25" s="118">
        <v>0</v>
      </c>
      <c r="F25" s="118">
        <v>0</v>
      </c>
      <c r="G25" s="118">
        <v>0</v>
      </c>
      <c r="H25" s="87"/>
      <c r="I25" s="86"/>
    </row>
    <row r="26" spans="1:9" ht="15.75">
      <c r="A26" s="75">
        <f t="shared" ref="A26:A34" si="3">+A25+1</f>
        <v>10</v>
      </c>
      <c r="B26" s="177"/>
      <c r="C26" s="180">
        <f t="shared" si="2"/>
        <v>0</v>
      </c>
      <c r="D26" s="118">
        <v>0</v>
      </c>
      <c r="E26" s="118">
        <v>0</v>
      </c>
      <c r="F26" s="118">
        <v>0</v>
      </c>
      <c r="G26" s="118">
        <v>0</v>
      </c>
      <c r="H26" s="87"/>
      <c r="I26" s="86"/>
    </row>
    <row r="27" spans="1:9" ht="15.75">
      <c r="A27" s="75">
        <f t="shared" si="3"/>
        <v>11</v>
      </c>
      <c r="B27" s="177"/>
      <c r="C27" s="180">
        <f t="shared" si="2"/>
        <v>0</v>
      </c>
      <c r="D27" s="118">
        <v>0</v>
      </c>
      <c r="E27" s="118">
        <v>0</v>
      </c>
      <c r="F27" s="118">
        <v>0</v>
      </c>
      <c r="G27" s="118">
        <v>0</v>
      </c>
      <c r="H27" s="87"/>
      <c r="I27" s="86"/>
    </row>
    <row r="28" spans="1:9" ht="15.75">
      <c r="A28" s="75">
        <f t="shared" si="3"/>
        <v>12</v>
      </c>
      <c r="B28" s="177"/>
      <c r="C28" s="180">
        <f t="shared" si="2"/>
        <v>0</v>
      </c>
      <c r="D28" s="118">
        <v>0</v>
      </c>
      <c r="E28" s="118">
        <v>0</v>
      </c>
      <c r="F28" s="118">
        <v>0</v>
      </c>
      <c r="G28" s="118">
        <v>0</v>
      </c>
      <c r="H28" s="87"/>
      <c r="I28" s="86"/>
    </row>
    <row r="29" spans="1:9" ht="15.75">
      <c r="A29" s="75">
        <f t="shared" si="3"/>
        <v>13</v>
      </c>
      <c r="B29" s="177"/>
      <c r="C29" s="180">
        <f t="shared" si="2"/>
        <v>0</v>
      </c>
      <c r="D29" s="118">
        <v>0</v>
      </c>
      <c r="E29" s="118">
        <v>0</v>
      </c>
      <c r="F29" s="118">
        <v>0</v>
      </c>
      <c r="G29" s="118">
        <v>0</v>
      </c>
      <c r="H29" s="87"/>
      <c r="I29" s="86"/>
    </row>
    <row r="30" spans="1:9" ht="15.75">
      <c r="A30" s="75">
        <f t="shared" si="3"/>
        <v>14</v>
      </c>
      <c r="B30" s="177"/>
      <c r="C30" s="180">
        <f t="shared" si="2"/>
        <v>0</v>
      </c>
      <c r="D30" s="118">
        <v>0</v>
      </c>
      <c r="E30" s="118">
        <v>0</v>
      </c>
      <c r="F30" s="118">
        <v>0</v>
      </c>
      <c r="G30" s="118">
        <v>0</v>
      </c>
      <c r="H30" s="87"/>
      <c r="I30" s="86"/>
    </row>
    <row r="31" spans="1:9" ht="15.75">
      <c r="A31" s="75">
        <f t="shared" si="3"/>
        <v>15</v>
      </c>
      <c r="B31" s="177"/>
      <c r="C31" s="180">
        <f t="shared" si="2"/>
        <v>0</v>
      </c>
      <c r="D31" s="118">
        <v>0</v>
      </c>
      <c r="E31" s="118">
        <v>0</v>
      </c>
      <c r="F31" s="118">
        <v>0</v>
      </c>
      <c r="G31" s="118">
        <v>0</v>
      </c>
      <c r="H31" s="87"/>
      <c r="I31" s="86"/>
    </row>
    <row r="32" spans="1:9" ht="15.75">
      <c r="A32" s="75">
        <f t="shared" si="3"/>
        <v>16</v>
      </c>
      <c r="B32" s="177"/>
      <c r="C32" s="180">
        <f t="shared" si="2"/>
        <v>0</v>
      </c>
      <c r="D32" s="118">
        <v>0</v>
      </c>
      <c r="E32" s="118">
        <v>0</v>
      </c>
      <c r="F32" s="118">
        <v>0</v>
      </c>
      <c r="G32" s="118">
        <v>0</v>
      </c>
      <c r="H32" s="87"/>
      <c r="I32" s="86"/>
    </row>
    <row r="33" spans="1:9" ht="15.75">
      <c r="A33" s="75">
        <f t="shared" si="3"/>
        <v>17</v>
      </c>
      <c r="B33" s="177"/>
      <c r="C33" s="180">
        <f t="shared" si="2"/>
        <v>0</v>
      </c>
      <c r="D33" s="118">
        <v>0</v>
      </c>
      <c r="E33" s="118">
        <v>0</v>
      </c>
      <c r="F33" s="118">
        <v>0</v>
      </c>
      <c r="G33" s="118">
        <v>0</v>
      </c>
      <c r="H33" s="87"/>
      <c r="I33" s="86"/>
    </row>
    <row r="34" spans="1:9" ht="15.75">
      <c r="A34" s="75">
        <f t="shared" si="3"/>
        <v>18</v>
      </c>
      <c r="B34" s="177"/>
      <c r="C34" s="180">
        <f t="shared" si="2"/>
        <v>0</v>
      </c>
      <c r="D34" s="118">
        <v>0</v>
      </c>
      <c r="E34" s="118">
        <v>0</v>
      </c>
      <c r="F34" s="118">
        <v>0</v>
      </c>
      <c r="G34" s="118">
        <v>0</v>
      </c>
      <c r="H34" s="87"/>
      <c r="I34" s="86"/>
    </row>
    <row r="35" spans="1:9" ht="15.75">
      <c r="A35" s="75">
        <f>+A34+1</f>
        <v>19</v>
      </c>
      <c r="B35" s="177"/>
      <c r="C35" s="180">
        <f t="shared" si="2"/>
        <v>0</v>
      </c>
      <c r="D35" s="118">
        <v>0</v>
      </c>
      <c r="E35" s="118">
        <v>0</v>
      </c>
      <c r="F35" s="118">
        <v>0</v>
      </c>
      <c r="G35" s="118">
        <v>0</v>
      </c>
      <c r="H35" s="87"/>
      <c r="I35" s="86"/>
    </row>
    <row r="36" spans="1:9" ht="16.5" thickBot="1">
      <c r="A36" s="75">
        <f>+A35+1</f>
        <v>20</v>
      </c>
      <c r="B36" s="88" t="s">
        <v>9</v>
      </c>
      <c r="C36" s="89">
        <f>+SUM(C24:C35)</f>
        <v>0</v>
      </c>
      <c r="D36" s="89">
        <f t="shared" ref="D36:G36" si="4">+SUM(D24:D35)</f>
        <v>0</v>
      </c>
      <c r="E36" s="89">
        <f t="shared" si="4"/>
        <v>0</v>
      </c>
      <c r="F36" s="89">
        <f t="shared" si="4"/>
        <v>0</v>
      </c>
      <c r="G36" s="89">
        <f t="shared" si="4"/>
        <v>0</v>
      </c>
      <c r="H36" s="89"/>
      <c r="I36" s="90"/>
    </row>
    <row r="37" spans="1:9" ht="15.75">
      <c r="A37" s="64"/>
      <c r="B37" s="64" t="s">
        <v>180</v>
      </c>
      <c r="C37" s="64"/>
      <c r="D37" s="77"/>
      <c r="E37" s="91"/>
      <c r="F37" s="75"/>
      <c r="G37" s="64"/>
      <c r="H37" s="64"/>
      <c r="I37" s="92"/>
    </row>
    <row r="38" spans="1:9" ht="15.75">
      <c r="A38" s="64"/>
      <c r="B38" s="67" t="s">
        <v>400</v>
      </c>
      <c r="C38" s="64"/>
      <c r="D38" s="64"/>
      <c r="E38" s="64"/>
      <c r="F38" s="64"/>
      <c r="G38" s="75"/>
      <c r="H38" s="75"/>
      <c r="I38" s="75"/>
    </row>
    <row r="39" spans="1:9" ht="15.75">
      <c r="A39" s="64"/>
      <c r="B39" s="67" t="s">
        <v>189</v>
      </c>
      <c r="C39" s="64"/>
      <c r="D39" s="64"/>
      <c r="E39" s="64"/>
      <c r="F39" s="64"/>
      <c r="G39" s="75"/>
      <c r="H39" s="75"/>
      <c r="I39" s="75"/>
    </row>
    <row r="40" spans="1:9" ht="15.75">
      <c r="A40" s="64"/>
      <c r="B40" s="67" t="s">
        <v>190</v>
      </c>
      <c r="C40" s="64"/>
      <c r="D40" s="64"/>
      <c r="E40" s="64"/>
      <c r="F40" s="64"/>
      <c r="G40" s="75"/>
      <c r="H40" s="75"/>
      <c r="I40" s="75"/>
    </row>
    <row r="41" spans="1:9" ht="15.75">
      <c r="A41" s="64"/>
      <c r="B41" s="661" t="s">
        <v>191</v>
      </c>
      <c r="C41" s="661"/>
      <c r="D41" s="661"/>
      <c r="E41" s="661"/>
      <c r="F41" s="661"/>
      <c r="G41" s="661"/>
      <c r="H41" s="661"/>
      <c r="I41" s="661"/>
    </row>
    <row r="42" spans="1:9" ht="15.75">
      <c r="A42" s="64"/>
      <c r="B42" s="67" t="s">
        <v>188</v>
      </c>
      <c r="C42" s="75"/>
      <c r="D42" s="93"/>
      <c r="E42" s="75"/>
      <c r="F42" s="75"/>
      <c r="G42" s="75"/>
      <c r="H42" s="75"/>
      <c r="I42" s="94"/>
    </row>
    <row r="43" spans="1:9" ht="15.75">
      <c r="A43" s="64"/>
      <c r="B43" s="67"/>
      <c r="C43" s="83"/>
      <c r="D43" s="83"/>
      <c r="E43" s="83"/>
      <c r="F43" s="83"/>
      <c r="G43" s="83"/>
      <c r="H43" s="83"/>
      <c r="I43" s="94"/>
    </row>
    <row r="44" spans="1:9" ht="18">
      <c r="A44" s="66"/>
      <c r="B44" s="662" t="str">
        <f>+B1</f>
        <v>Central Hudson Gas and Electric Corporation</v>
      </c>
      <c r="C44" s="665"/>
      <c r="D44" s="665"/>
      <c r="E44" s="665"/>
      <c r="F44" s="665"/>
      <c r="G44" s="665"/>
      <c r="H44" s="665"/>
      <c r="I44" s="665"/>
    </row>
    <row r="45" spans="1:9" ht="18">
      <c r="A45" s="66"/>
      <c r="B45" s="662" t="str">
        <f>+B2</f>
        <v>Workpaper 2b: Accumulated Deferred Income Taxes (ADIT) Workpaper - Prior Year</v>
      </c>
      <c r="C45" s="662"/>
      <c r="D45" s="662"/>
      <c r="E45" s="662"/>
      <c r="F45" s="662"/>
      <c r="G45" s="662"/>
      <c r="H45" s="662"/>
      <c r="I45" s="662"/>
    </row>
    <row r="46" spans="1:9" ht="18">
      <c r="A46" s="64"/>
      <c r="B46" s="70"/>
      <c r="C46" s="64"/>
      <c r="D46" s="64"/>
      <c r="E46" s="64"/>
      <c r="F46" s="64"/>
      <c r="G46" s="64"/>
      <c r="H46" s="64"/>
      <c r="I46" s="71"/>
    </row>
    <row r="47" spans="1:9" ht="15.75">
      <c r="A47" s="64"/>
      <c r="B47" s="122" t="s">
        <v>68</v>
      </c>
      <c r="C47" s="122" t="s">
        <v>69</v>
      </c>
      <c r="D47" s="122" t="s">
        <v>70</v>
      </c>
      <c r="E47" s="122" t="s">
        <v>71</v>
      </c>
      <c r="F47" s="122" t="s">
        <v>72</v>
      </c>
      <c r="G47" s="122" t="s">
        <v>73</v>
      </c>
      <c r="H47" s="122" t="s">
        <v>74</v>
      </c>
      <c r="I47" s="122" t="s">
        <v>75</v>
      </c>
    </row>
    <row r="49" spans="1:9" ht="30.75">
      <c r="A49" s="64"/>
      <c r="B49" s="114" t="s">
        <v>541</v>
      </c>
      <c r="C49" s="70"/>
      <c r="D49" s="70"/>
      <c r="E49" s="112" t="str">
        <f>+E22</f>
        <v>Schedule 19 Projects</v>
      </c>
      <c r="F49" s="70" t="s">
        <v>168</v>
      </c>
      <c r="G49" s="70" t="s">
        <v>169</v>
      </c>
      <c r="H49" s="70"/>
      <c r="I49" s="83"/>
    </row>
    <row r="50" spans="1:9" ht="16.5" thickBot="1">
      <c r="A50" s="64"/>
      <c r="B50" s="67"/>
      <c r="C50" s="70"/>
      <c r="D50" s="70" t="str">
        <f>+D23</f>
        <v>Excluded</v>
      </c>
      <c r="E50" s="70" t="s">
        <v>170</v>
      </c>
      <c r="F50" s="70" t="s">
        <v>170</v>
      </c>
      <c r="G50" s="70" t="s">
        <v>170</v>
      </c>
      <c r="H50" s="84"/>
      <c r="I50" s="70" t="s">
        <v>179</v>
      </c>
    </row>
    <row r="51" spans="1:9" ht="15.75">
      <c r="A51" s="64">
        <f>+A36+1</f>
        <v>21</v>
      </c>
      <c r="B51" s="96" t="s">
        <v>184</v>
      </c>
      <c r="C51" s="181" t="e">
        <f>+SUM(D51:G51)</f>
        <v>#DIV/0!</v>
      </c>
      <c r="D51" s="181">
        <v>0</v>
      </c>
      <c r="E51" s="182" t="e">
        <f>+'2d-ADIT Proration Actual'!P28</f>
        <v>#DIV/0!</v>
      </c>
      <c r="F51" s="115">
        <v>0</v>
      </c>
      <c r="G51" s="115">
        <v>0</v>
      </c>
      <c r="H51" s="97"/>
      <c r="I51" s="98" t="str">
        <f>"Workpaper 2d, Line "&amp;'2d-ADIT Proration Actual'!A28&amp;", Col. "&amp;'2d-ADIT Proration Actual'!P13&amp;""</f>
        <v>Workpaper 2d, Line 13, Col. (n)</v>
      </c>
    </row>
    <row r="52" spans="1:9" ht="15.75">
      <c r="A52" s="64">
        <f>+A51+1</f>
        <v>22</v>
      </c>
      <c r="B52" s="116"/>
      <c r="C52" s="183">
        <f>+SUM(D52:G52)</f>
        <v>0</v>
      </c>
      <c r="D52" s="183"/>
      <c r="E52" s="184">
        <v>0</v>
      </c>
      <c r="F52" s="184"/>
      <c r="G52" s="184"/>
      <c r="H52" s="85"/>
      <c r="I52" s="99"/>
    </row>
    <row r="53" spans="1:9" ht="15.75">
      <c r="A53" s="64">
        <f t="shared" ref="A53:A56" si="5">+A52+1</f>
        <v>23</v>
      </c>
      <c r="B53" s="116"/>
      <c r="C53" s="183">
        <f t="shared" ref="C53:C55" si="6">+SUM(D53:G53)</f>
        <v>0</v>
      </c>
      <c r="D53" s="183"/>
      <c r="E53" s="184"/>
      <c r="F53" s="184"/>
      <c r="G53" s="184"/>
      <c r="H53" s="85"/>
      <c r="I53" s="99"/>
    </row>
    <row r="54" spans="1:9" ht="15.75">
      <c r="A54" s="64">
        <f t="shared" si="5"/>
        <v>24</v>
      </c>
      <c r="B54" s="116"/>
      <c r="C54" s="183">
        <f t="shared" si="6"/>
        <v>0</v>
      </c>
      <c r="D54" s="183"/>
      <c r="E54" s="184"/>
      <c r="F54" s="184"/>
      <c r="G54" s="184"/>
      <c r="H54" s="85"/>
      <c r="I54" s="99"/>
    </row>
    <row r="55" spans="1:9" ht="15.75">
      <c r="A55" s="64">
        <f t="shared" si="5"/>
        <v>25</v>
      </c>
      <c r="B55" s="111"/>
      <c r="C55" s="183">
        <f t="shared" si="6"/>
        <v>0</v>
      </c>
      <c r="D55" s="118">
        <v>0</v>
      </c>
      <c r="E55" s="118">
        <v>0</v>
      </c>
      <c r="F55" s="118">
        <v>0</v>
      </c>
      <c r="G55" s="118">
        <v>0</v>
      </c>
      <c r="H55" s="87"/>
      <c r="I55" s="99"/>
    </row>
    <row r="56" spans="1:9" ht="16.5" thickBot="1">
      <c r="A56" s="64">
        <f t="shared" si="5"/>
        <v>26</v>
      </c>
      <c r="B56" s="88" t="s">
        <v>9</v>
      </c>
      <c r="C56" s="89" t="e">
        <f>+SUM(C51:C55)</f>
        <v>#DIV/0!</v>
      </c>
      <c r="D56" s="89">
        <f t="shared" ref="D56:G56" si="7">+SUM(D51:D55)</f>
        <v>0</v>
      </c>
      <c r="E56" s="89" t="e">
        <f t="shared" si="7"/>
        <v>#DIV/0!</v>
      </c>
      <c r="F56" s="89">
        <f t="shared" si="7"/>
        <v>0</v>
      </c>
      <c r="G56" s="89">
        <f t="shared" si="7"/>
        <v>0</v>
      </c>
      <c r="H56" s="89"/>
      <c r="I56" s="90"/>
    </row>
    <row r="57" spans="1:9" ht="15.75">
      <c r="A57" s="64"/>
      <c r="B57" s="64" t="s">
        <v>181</v>
      </c>
      <c r="C57" s="64"/>
      <c r="D57" s="64"/>
      <c r="E57" s="75"/>
      <c r="F57" s="91"/>
      <c r="G57" s="64"/>
      <c r="H57" s="64"/>
      <c r="I57" s="94"/>
    </row>
    <row r="58" spans="1:9" ht="15.75">
      <c r="A58" s="64"/>
      <c r="B58" s="67" t="s">
        <v>400</v>
      </c>
      <c r="C58" s="64"/>
      <c r="D58" s="64"/>
      <c r="E58" s="64"/>
      <c r="F58" s="64"/>
      <c r="G58" s="75"/>
      <c r="H58" s="75"/>
      <c r="I58" s="75"/>
    </row>
    <row r="59" spans="1:9" ht="15.75">
      <c r="A59" s="64"/>
      <c r="B59" s="67" t="s">
        <v>189</v>
      </c>
      <c r="C59" s="64"/>
      <c r="D59" s="64"/>
      <c r="E59" s="64"/>
      <c r="F59" s="64"/>
      <c r="G59" s="75"/>
      <c r="H59" s="75"/>
      <c r="I59" s="75"/>
    </row>
    <row r="60" spans="1:9" ht="15.75">
      <c r="A60" s="64"/>
      <c r="B60" s="67" t="s">
        <v>190</v>
      </c>
      <c r="C60" s="64"/>
      <c r="D60" s="64"/>
      <c r="E60" s="64"/>
      <c r="F60" s="64"/>
      <c r="G60" s="75"/>
      <c r="H60" s="75"/>
      <c r="I60" s="75"/>
    </row>
    <row r="61" spans="1:9" ht="15.75" customHeight="1">
      <c r="A61" s="64"/>
      <c r="B61" s="661" t="s">
        <v>191</v>
      </c>
      <c r="C61" s="661"/>
      <c r="D61" s="661"/>
      <c r="E61" s="661"/>
      <c r="F61" s="661"/>
      <c r="G61" s="661"/>
      <c r="H61" s="661"/>
      <c r="I61" s="661"/>
    </row>
    <row r="62" spans="1:9" ht="15.75">
      <c r="A62" s="64"/>
      <c r="B62" s="67" t="s">
        <v>188</v>
      </c>
      <c r="C62" s="75"/>
      <c r="D62" s="93"/>
      <c r="E62" s="75"/>
      <c r="F62" s="75"/>
      <c r="G62" s="75"/>
      <c r="H62" s="75"/>
      <c r="I62" s="94"/>
    </row>
    <row r="66" spans="1:9" ht="18">
      <c r="A66" s="66"/>
      <c r="B66" s="100" t="str">
        <f>B1</f>
        <v>Central Hudson Gas and Electric Corporation</v>
      </c>
      <c r="C66" s="101"/>
      <c r="D66" s="101"/>
      <c r="E66" s="101"/>
      <c r="F66" s="101"/>
      <c r="G66" s="101"/>
      <c r="H66" s="101"/>
      <c r="I66" s="101"/>
    </row>
    <row r="67" spans="1:9" ht="18">
      <c r="A67" s="66"/>
      <c r="B67" s="662" t="str">
        <f>+B2</f>
        <v>Workpaper 2b: Accumulated Deferred Income Taxes (ADIT) Workpaper - Prior Year</v>
      </c>
      <c r="C67" s="662"/>
      <c r="D67" s="662"/>
      <c r="E67" s="662"/>
      <c r="F67" s="662"/>
      <c r="G67" s="662"/>
      <c r="H67" s="662"/>
      <c r="I67" s="662"/>
    </row>
    <row r="68" spans="1:9" ht="18.75">
      <c r="A68" s="66"/>
      <c r="B68" s="102"/>
      <c r="C68" s="66"/>
      <c r="D68" s="66"/>
      <c r="E68" s="66"/>
      <c r="F68" s="66"/>
      <c r="G68" s="103"/>
      <c r="H68" s="103"/>
      <c r="I68" s="104"/>
    </row>
    <row r="69" spans="1:9" ht="15.75">
      <c r="A69" s="64"/>
      <c r="B69" s="122" t="s">
        <v>68</v>
      </c>
      <c r="C69" s="122" t="s">
        <v>69</v>
      </c>
      <c r="D69" s="122" t="s">
        <v>70</v>
      </c>
      <c r="E69" s="122" t="s">
        <v>71</v>
      </c>
      <c r="F69" s="122" t="s">
        <v>72</v>
      </c>
      <c r="G69" s="122" t="s">
        <v>73</v>
      </c>
      <c r="H69" s="122" t="s">
        <v>74</v>
      </c>
      <c r="I69" s="122" t="s">
        <v>75</v>
      </c>
    </row>
    <row r="70" spans="1:9" ht="31.5">
      <c r="A70" s="64"/>
      <c r="B70" s="114" t="s">
        <v>542</v>
      </c>
      <c r="C70" s="83" t="s">
        <v>9</v>
      </c>
      <c r="D70" s="105"/>
      <c r="E70" s="113" t="str">
        <f>+E49</f>
        <v>Schedule 19 Projects</v>
      </c>
      <c r="F70" s="105" t="s">
        <v>168</v>
      </c>
      <c r="G70" s="105" t="s">
        <v>169</v>
      </c>
      <c r="H70" s="83"/>
      <c r="I70" s="64"/>
    </row>
    <row r="71" spans="1:9" ht="16.5" thickBot="1">
      <c r="A71" s="64"/>
      <c r="B71" s="67"/>
      <c r="C71" s="83"/>
      <c r="D71" s="83" t="str">
        <f>+D50</f>
        <v>Excluded</v>
      </c>
      <c r="E71" s="83" t="s">
        <v>170</v>
      </c>
      <c r="F71" s="83" t="str">
        <f>+F23</f>
        <v>Related</v>
      </c>
      <c r="G71" s="83" t="str">
        <f>+G23</f>
        <v>Related</v>
      </c>
      <c r="H71" s="106"/>
      <c r="I71" s="70" t="s">
        <v>179</v>
      </c>
    </row>
    <row r="72" spans="1:9" ht="15.75">
      <c r="A72" s="75">
        <f>+A56+1</f>
        <v>27</v>
      </c>
      <c r="B72" s="188"/>
      <c r="C72" s="118">
        <f>+SUM(D72:G72)</f>
        <v>0</v>
      </c>
      <c r="D72" s="118"/>
      <c r="E72" s="118">
        <v>0</v>
      </c>
      <c r="F72" s="118">
        <v>0</v>
      </c>
      <c r="G72" s="118">
        <v>0</v>
      </c>
      <c r="H72" s="182"/>
      <c r="I72" s="107"/>
    </row>
    <row r="73" spans="1:9" ht="15.75">
      <c r="A73" s="75">
        <f>+A72+1</f>
        <v>28</v>
      </c>
      <c r="B73" s="188"/>
      <c r="C73" s="118">
        <f t="shared" ref="C73:C78" si="8">+SUM(D73:G73)</f>
        <v>0</v>
      </c>
      <c r="D73" s="118"/>
      <c r="E73" s="118">
        <v>0</v>
      </c>
      <c r="F73" s="118"/>
      <c r="G73" s="118"/>
      <c r="H73" s="301"/>
      <c r="I73" s="108"/>
    </row>
    <row r="74" spans="1:9" ht="15.75">
      <c r="A74" s="75">
        <f t="shared" ref="A74:A77" si="9">+A73+1</f>
        <v>29</v>
      </c>
      <c r="B74" s="188"/>
      <c r="C74" s="118">
        <f t="shared" si="8"/>
        <v>0</v>
      </c>
      <c r="D74" s="118"/>
      <c r="E74" s="118"/>
      <c r="F74" s="118"/>
      <c r="G74" s="118"/>
      <c r="H74" s="301"/>
      <c r="I74" s="108"/>
    </row>
    <row r="75" spans="1:9" ht="15.75">
      <c r="A75" s="75">
        <f t="shared" si="9"/>
        <v>30</v>
      </c>
      <c r="B75" s="188"/>
      <c r="C75" s="118">
        <f t="shared" si="8"/>
        <v>0</v>
      </c>
      <c r="D75" s="118"/>
      <c r="E75" s="118"/>
      <c r="F75" s="118"/>
      <c r="G75" s="118"/>
      <c r="H75" s="301"/>
      <c r="I75" s="108"/>
    </row>
    <row r="76" spans="1:9" ht="15.75">
      <c r="A76" s="75">
        <f t="shared" si="9"/>
        <v>31</v>
      </c>
      <c r="B76" s="188"/>
      <c r="C76" s="118">
        <f t="shared" si="8"/>
        <v>0</v>
      </c>
      <c r="D76" s="118"/>
      <c r="E76" s="118"/>
      <c r="F76" s="118"/>
      <c r="G76" s="118"/>
      <c r="H76" s="301"/>
      <c r="I76" s="108"/>
    </row>
    <row r="77" spans="1:9" ht="15.75">
      <c r="A77" s="75">
        <f t="shared" si="9"/>
        <v>32</v>
      </c>
      <c r="B77" s="188"/>
      <c r="C77" s="118">
        <f t="shared" si="8"/>
        <v>0</v>
      </c>
      <c r="D77" s="118"/>
      <c r="E77" s="118"/>
      <c r="F77" s="118"/>
      <c r="G77" s="118"/>
      <c r="H77" s="301"/>
      <c r="I77" s="108"/>
    </row>
    <row r="78" spans="1:9" ht="15.75">
      <c r="A78" s="75">
        <f>+A77+1</f>
        <v>33</v>
      </c>
      <c r="B78" s="188"/>
      <c r="C78" s="118">
        <f t="shared" si="8"/>
        <v>0</v>
      </c>
      <c r="D78" s="118"/>
      <c r="E78" s="118"/>
      <c r="F78" s="118"/>
      <c r="G78" s="118"/>
      <c r="H78" s="301"/>
      <c r="I78" s="108"/>
    </row>
    <row r="79" spans="1:9" ht="16.5" thickBot="1">
      <c r="A79" s="75">
        <f>+A78+1</f>
        <v>34</v>
      </c>
      <c r="B79" s="88" t="s">
        <v>9</v>
      </c>
      <c r="C79" s="89">
        <f>+SUM(C72:C78)</f>
        <v>0</v>
      </c>
      <c r="D79" s="89">
        <f t="shared" ref="D79:G79" si="10">+SUM(D72:D78)</f>
        <v>0</v>
      </c>
      <c r="E79" s="89">
        <f t="shared" si="10"/>
        <v>0</v>
      </c>
      <c r="F79" s="89">
        <f t="shared" si="10"/>
        <v>0</v>
      </c>
      <c r="G79" s="89">
        <f t="shared" si="10"/>
        <v>0</v>
      </c>
      <c r="H79" s="89"/>
      <c r="I79" s="90"/>
    </row>
    <row r="81" spans="2:9" ht="15.75">
      <c r="B81" s="64" t="s">
        <v>183</v>
      </c>
      <c r="C81" s="64"/>
      <c r="D81" s="64"/>
      <c r="E81" s="75"/>
      <c r="F81" s="75"/>
      <c r="G81" s="64"/>
      <c r="H81" s="64"/>
      <c r="I81" s="109"/>
    </row>
    <row r="82" spans="2:9" ht="15.75">
      <c r="B82" s="67" t="s">
        <v>400</v>
      </c>
      <c r="C82" s="64"/>
      <c r="D82" s="64"/>
      <c r="E82" s="64"/>
      <c r="F82" s="64"/>
      <c r="G82" s="75"/>
      <c r="H82" s="75"/>
      <c r="I82" s="75"/>
    </row>
    <row r="83" spans="2:9" ht="15.75">
      <c r="B83" s="67" t="s">
        <v>189</v>
      </c>
      <c r="C83" s="64"/>
      <c r="D83" s="64"/>
      <c r="E83" s="64"/>
      <c r="F83" s="64"/>
      <c r="G83" s="75"/>
      <c r="H83" s="75"/>
      <c r="I83" s="75"/>
    </row>
    <row r="84" spans="2:9" ht="15.75">
      <c r="B84" s="67" t="s">
        <v>190</v>
      </c>
      <c r="C84" s="64"/>
      <c r="D84" s="64"/>
      <c r="E84" s="64"/>
      <c r="F84" s="64"/>
      <c r="G84" s="75"/>
      <c r="H84" s="75"/>
      <c r="I84" s="75"/>
    </row>
    <row r="85" spans="2:9" ht="15.75" customHeight="1">
      <c r="B85" s="661" t="s">
        <v>191</v>
      </c>
      <c r="C85" s="661"/>
      <c r="D85" s="661"/>
      <c r="E85" s="661"/>
      <c r="F85" s="661"/>
      <c r="G85" s="661"/>
      <c r="H85" s="661"/>
      <c r="I85" s="661"/>
    </row>
    <row r="86" spans="2:9" ht="15.75">
      <c r="B86" s="67" t="s">
        <v>188</v>
      </c>
      <c r="C86" s="75"/>
      <c r="D86" s="93"/>
      <c r="E86" s="75"/>
      <c r="F86" s="75"/>
      <c r="G86" s="75"/>
      <c r="H86" s="75"/>
      <c r="I86" s="94"/>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I11" sqref="I11"/>
    </sheetView>
  </sheetViews>
  <sheetFormatPr defaultRowHeight="15"/>
  <cols>
    <col min="2" max="2" width="37.85546875" customWidth="1"/>
    <col min="3" max="3" width="12.140625" bestFit="1" customWidth="1"/>
    <col min="4" max="4" width="12.140625" customWidth="1"/>
    <col min="5" max="5" width="17.42578125" customWidth="1"/>
    <col min="6" max="6" width="12.140625" customWidth="1"/>
    <col min="7" max="7" width="13.140625" bestFit="1" customWidth="1"/>
    <col min="8" max="8" width="18.28515625" customWidth="1"/>
    <col min="9" max="9" width="16.140625" customWidth="1"/>
    <col min="10" max="10" width="16.42578125" customWidth="1"/>
    <col min="11" max="13" width="14.7109375" customWidth="1"/>
    <col min="14" max="14" width="19.42578125" customWidth="1"/>
    <col min="15" max="15" width="14.140625" bestFit="1" customWidth="1"/>
    <col min="16" max="16" width="14.85546875" customWidth="1"/>
    <col min="17" max="17" width="11.28515625" customWidth="1"/>
    <col min="18" max="18" width="14.7109375" customWidth="1"/>
    <col min="19" max="19" width="21.7109375" customWidth="1"/>
  </cols>
  <sheetData>
    <row r="1" spans="1:19" ht="18" customHeight="1">
      <c r="B1" s="662" t="s">
        <v>576</v>
      </c>
      <c r="C1" s="662"/>
      <c r="D1" s="662"/>
      <c r="E1" s="662"/>
      <c r="F1" s="662"/>
      <c r="G1" s="662"/>
      <c r="H1" s="662"/>
      <c r="I1" s="662"/>
      <c r="J1" s="662"/>
      <c r="K1" s="662"/>
      <c r="L1" s="662"/>
      <c r="M1" s="662"/>
      <c r="N1" s="662"/>
      <c r="O1" s="662"/>
      <c r="P1" s="662"/>
      <c r="Q1" s="662"/>
      <c r="R1" s="662"/>
      <c r="S1" s="662"/>
    </row>
    <row r="2" spans="1:19" ht="18">
      <c r="B2" s="667" t="s">
        <v>543</v>
      </c>
      <c r="C2" s="667"/>
      <c r="D2" s="667"/>
      <c r="E2" s="667"/>
      <c r="F2" s="667"/>
      <c r="G2" s="667"/>
      <c r="H2" s="667"/>
      <c r="I2" s="667"/>
      <c r="J2" s="667"/>
      <c r="K2" s="667"/>
      <c r="L2" s="667"/>
      <c r="M2" s="667"/>
      <c r="N2" s="667"/>
      <c r="O2" s="667"/>
      <c r="P2" s="667"/>
      <c r="Q2" s="667"/>
      <c r="R2" s="667"/>
      <c r="S2" s="667"/>
    </row>
    <row r="3" spans="1:19" ht="18" customHeight="1">
      <c r="B3" s="666" t="str">
        <f>+'Appendix A'!H3</f>
        <v>Projected ATRR or Actual ATRR for the 12 Months Ended 12/31/XXXX</v>
      </c>
      <c r="C3" s="666"/>
      <c r="D3" s="666"/>
      <c r="E3" s="666"/>
      <c r="F3" s="666"/>
      <c r="G3" s="666"/>
      <c r="H3" s="666"/>
      <c r="I3" s="666"/>
      <c r="J3" s="666"/>
      <c r="K3" s="666"/>
      <c r="L3" s="666"/>
      <c r="M3" s="666"/>
      <c r="N3" s="666"/>
      <c r="O3" s="666"/>
      <c r="P3" s="666"/>
      <c r="Q3" s="666"/>
      <c r="R3" s="666"/>
      <c r="S3" s="666"/>
    </row>
    <row r="4" spans="1:19" ht="18">
      <c r="B4" s="67"/>
      <c r="C4" s="122"/>
      <c r="D4" s="122"/>
      <c r="E4" s="122"/>
      <c r="F4" s="122"/>
      <c r="G4" s="122"/>
      <c r="H4" s="123"/>
      <c r="I4" s="124"/>
      <c r="J4" s="122"/>
      <c r="K4" s="122"/>
      <c r="L4" s="122"/>
      <c r="M4" s="122"/>
      <c r="N4" s="122"/>
      <c r="O4" s="122"/>
      <c r="P4" s="122"/>
      <c r="Q4" s="122"/>
      <c r="R4" s="122"/>
    </row>
    <row r="5" spans="1:19" ht="18">
      <c r="B5" s="64" t="s">
        <v>192</v>
      </c>
      <c r="C5" s="122"/>
      <c r="D5" s="122"/>
      <c r="E5" s="122"/>
      <c r="F5" s="122"/>
      <c r="G5" s="122"/>
      <c r="H5" s="123"/>
      <c r="I5" s="124"/>
      <c r="J5" s="122"/>
      <c r="K5" s="122"/>
      <c r="L5" s="122"/>
      <c r="M5" s="122"/>
      <c r="N5" s="122"/>
      <c r="O5" s="122"/>
      <c r="P5" s="122"/>
      <c r="Q5" s="122"/>
      <c r="R5" s="122"/>
    </row>
    <row r="6" spans="1:19" ht="15.75">
      <c r="B6" s="125" t="s">
        <v>619</v>
      </c>
      <c r="C6" s="126"/>
      <c r="D6" s="126"/>
      <c r="E6" s="126"/>
      <c r="F6" s="126"/>
      <c r="G6" s="126"/>
      <c r="H6" s="64"/>
      <c r="I6" s="64"/>
      <c r="J6" s="126"/>
      <c r="K6" s="126"/>
      <c r="L6" s="126"/>
      <c r="M6" s="126"/>
      <c r="N6" s="126"/>
      <c r="O6" s="126"/>
      <c r="P6" s="126"/>
      <c r="Q6" s="126"/>
      <c r="R6" s="126"/>
    </row>
    <row r="7" spans="1:19" ht="15.75">
      <c r="B7" s="127" t="s">
        <v>212</v>
      </c>
      <c r="C7" s="126"/>
      <c r="D7" s="126"/>
      <c r="E7" s="126"/>
      <c r="F7" s="126"/>
      <c r="G7" s="126"/>
      <c r="H7" s="126"/>
      <c r="I7" s="126"/>
      <c r="J7" s="126"/>
      <c r="K7" s="126"/>
      <c r="L7" s="126"/>
      <c r="M7" s="126"/>
      <c r="N7" s="126"/>
      <c r="O7" s="126"/>
      <c r="P7" s="126"/>
      <c r="Q7" s="126"/>
      <c r="R7" s="126"/>
    </row>
    <row r="8" spans="1:19" ht="15.75">
      <c r="B8" s="122" t="s">
        <v>68</v>
      </c>
      <c r="C8" s="122" t="s">
        <v>69</v>
      </c>
      <c r="D8" s="122" t="s">
        <v>70</v>
      </c>
      <c r="E8" s="122" t="s">
        <v>71</v>
      </c>
      <c r="F8" s="122" t="s">
        <v>72</v>
      </c>
      <c r="G8" s="122" t="s">
        <v>73</v>
      </c>
      <c r="H8" s="122" t="s">
        <v>74</v>
      </c>
      <c r="I8" s="122" t="s">
        <v>75</v>
      </c>
      <c r="J8" s="122" t="s">
        <v>92</v>
      </c>
      <c r="K8" s="122" t="s">
        <v>93</v>
      </c>
      <c r="L8" s="122" t="s">
        <v>97</v>
      </c>
      <c r="M8" s="122" t="s">
        <v>120</v>
      </c>
      <c r="N8" s="122" t="s">
        <v>193</v>
      </c>
      <c r="O8" s="122" t="s">
        <v>194</v>
      </c>
      <c r="P8" s="122" t="s">
        <v>195</v>
      </c>
      <c r="Q8" s="122" t="s">
        <v>196</v>
      </c>
      <c r="R8" s="122" t="s">
        <v>197</v>
      </c>
      <c r="S8" s="122" t="s">
        <v>491</v>
      </c>
    </row>
    <row r="9" spans="1:19" ht="75">
      <c r="B9" s="128" t="s">
        <v>198</v>
      </c>
      <c r="C9" s="128" t="s">
        <v>199</v>
      </c>
      <c r="D9" s="128" t="s">
        <v>200</v>
      </c>
      <c r="E9" s="128" t="s">
        <v>201</v>
      </c>
      <c r="F9" s="128" t="s">
        <v>202</v>
      </c>
      <c r="G9" s="128" t="s">
        <v>439</v>
      </c>
      <c r="H9" s="128" t="s">
        <v>203</v>
      </c>
      <c r="I9" s="128" t="s">
        <v>490</v>
      </c>
      <c r="J9" s="128" t="s">
        <v>440</v>
      </c>
      <c r="K9" s="128" t="s">
        <v>204</v>
      </c>
      <c r="L9" s="128" t="s">
        <v>441</v>
      </c>
      <c r="M9" s="128" t="s">
        <v>442</v>
      </c>
      <c r="N9" s="128" t="s">
        <v>205</v>
      </c>
      <c r="O9" s="128" t="s">
        <v>208</v>
      </c>
      <c r="P9" s="128" t="s">
        <v>443</v>
      </c>
      <c r="Q9" s="128" t="s">
        <v>444</v>
      </c>
      <c r="R9" s="128" t="s">
        <v>206</v>
      </c>
      <c r="S9" s="128" t="s">
        <v>445</v>
      </c>
    </row>
    <row r="10" spans="1:19" ht="15.75">
      <c r="B10" s="127"/>
      <c r="C10" s="121"/>
      <c r="D10" s="121"/>
      <c r="E10" s="121"/>
      <c r="F10" s="121"/>
      <c r="G10" s="121"/>
      <c r="H10" s="121"/>
      <c r="I10" s="121"/>
      <c r="J10" s="126"/>
      <c r="K10" s="126"/>
      <c r="L10" s="126"/>
      <c r="M10" s="126"/>
      <c r="N10" s="126"/>
      <c r="O10" s="126"/>
      <c r="P10" s="126"/>
      <c r="Q10" s="126"/>
      <c r="R10" s="129"/>
      <c r="S10" s="129"/>
    </row>
    <row r="11" spans="1:19" ht="30">
      <c r="A11" s="313">
        <v>1</v>
      </c>
      <c r="B11" s="130" t="s">
        <v>213</v>
      </c>
      <c r="C11" s="302">
        <v>2020</v>
      </c>
      <c r="D11" s="131"/>
      <c r="E11" s="131"/>
      <c r="F11" s="131"/>
      <c r="G11" s="132">
        <f>365/365</f>
        <v>1</v>
      </c>
      <c r="H11" s="133">
        <f>+J11+N11+R11</f>
        <v>0</v>
      </c>
      <c r="I11" s="303">
        <v>0</v>
      </c>
      <c r="J11" s="134">
        <f>G11*I11</f>
        <v>0</v>
      </c>
      <c r="K11" s="138"/>
      <c r="L11" s="143"/>
      <c r="M11" s="135"/>
      <c r="N11" s="134"/>
      <c r="O11" s="138"/>
      <c r="P11" s="119"/>
      <c r="Q11" s="135"/>
      <c r="R11" s="134"/>
      <c r="S11" s="193">
        <f>+J11</f>
        <v>0</v>
      </c>
    </row>
    <row r="12" spans="1:19" ht="15.75">
      <c r="A12" s="313">
        <f>+A11+1</f>
        <v>2</v>
      </c>
      <c r="B12" s="126" t="s">
        <v>124</v>
      </c>
      <c r="C12" s="302">
        <v>2021</v>
      </c>
      <c r="D12" s="136">
        <v>31</v>
      </c>
      <c r="E12" s="137">
        <f>E13+D13</f>
        <v>335</v>
      </c>
      <c r="F12" s="137">
        <f>SUM(D12:D23)</f>
        <v>365</v>
      </c>
      <c r="G12" s="132">
        <f>+E12/F12</f>
        <v>0.9178082191780822</v>
      </c>
      <c r="H12" s="303">
        <v>0</v>
      </c>
      <c r="I12" s="303">
        <v>0</v>
      </c>
      <c r="J12" s="134">
        <f t="shared" ref="J12:J23" si="0">G12*I12</f>
        <v>0</v>
      </c>
      <c r="K12" s="303">
        <v>0</v>
      </c>
      <c r="L12" s="143" t="e">
        <f>+'Appendix A'!$G$20</f>
        <v>#DIV/0!</v>
      </c>
      <c r="M12" s="135" t="e">
        <f t="shared" ref="M12:M23" si="1">+K12*L12</f>
        <v>#DIV/0!</v>
      </c>
      <c r="N12" s="134" t="e">
        <f t="shared" ref="N12:N23" si="2">+G12*M12</f>
        <v>#DIV/0!</v>
      </c>
      <c r="O12" s="303">
        <v>0</v>
      </c>
      <c r="P12" s="119" t="e">
        <f>+'Appendix A'!$D$156</f>
        <v>#DIV/0!</v>
      </c>
      <c r="Q12" s="135" t="e">
        <f t="shared" ref="Q12:Q23" si="3">+O12*P12</f>
        <v>#DIV/0!</v>
      </c>
      <c r="R12" s="134" t="e">
        <f t="shared" ref="R12:R23" si="4">+G12*Q12</f>
        <v>#DIV/0!</v>
      </c>
      <c r="S12" s="193" t="e">
        <f t="shared" ref="S12:S24" si="5">+J12+N12+R12</f>
        <v>#DIV/0!</v>
      </c>
    </row>
    <row r="13" spans="1:19" ht="15.75">
      <c r="A13" s="313">
        <f>+A12+1</f>
        <v>3</v>
      </c>
      <c r="B13" s="126" t="s">
        <v>52</v>
      </c>
      <c r="C13" s="302">
        <f>+$C$12</f>
        <v>2021</v>
      </c>
      <c r="D13" s="139">
        <v>28</v>
      </c>
      <c r="E13" s="137">
        <f t="shared" ref="E13:E20" si="6">E14+D14</f>
        <v>307</v>
      </c>
      <c r="F13" s="137">
        <f>F12</f>
        <v>365</v>
      </c>
      <c r="G13" s="132">
        <f t="shared" ref="G13:G23" si="7">+E13/F13</f>
        <v>0.84109589041095889</v>
      </c>
      <c r="H13" s="303">
        <v>0</v>
      </c>
      <c r="I13" s="303">
        <v>0</v>
      </c>
      <c r="J13" s="134">
        <f t="shared" si="0"/>
        <v>0</v>
      </c>
      <c r="K13" s="303">
        <v>0</v>
      </c>
      <c r="L13" s="143" t="e">
        <f>+'Appendix A'!$G$20</f>
        <v>#DIV/0!</v>
      </c>
      <c r="M13" s="135" t="e">
        <f t="shared" si="1"/>
        <v>#DIV/0!</v>
      </c>
      <c r="N13" s="134" t="e">
        <f t="shared" si="2"/>
        <v>#DIV/0!</v>
      </c>
      <c r="O13" s="303">
        <v>0</v>
      </c>
      <c r="P13" s="119" t="e">
        <f>+'Appendix A'!$D$156</f>
        <v>#DIV/0!</v>
      </c>
      <c r="Q13" s="135" t="e">
        <f t="shared" si="3"/>
        <v>#DIV/0!</v>
      </c>
      <c r="R13" s="134" t="e">
        <f t="shared" si="4"/>
        <v>#DIV/0!</v>
      </c>
      <c r="S13" s="193" t="e">
        <f t="shared" si="5"/>
        <v>#DIV/0!</v>
      </c>
    </row>
    <row r="14" spans="1:19" ht="15.75">
      <c r="A14" s="313">
        <f>+A13+1</f>
        <v>4</v>
      </c>
      <c r="B14" s="126" t="s">
        <v>125</v>
      </c>
      <c r="C14" s="302">
        <f t="shared" ref="C14:C23" si="8">+$C$12</f>
        <v>2021</v>
      </c>
      <c r="D14" s="136">
        <v>31</v>
      </c>
      <c r="E14" s="137">
        <f t="shared" si="6"/>
        <v>276</v>
      </c>
      <c r="F14" s="137">
        <f t="shared" ref="F14:F23" si="9">F13</f>
        <v>365</v>
      </c>
      <c r="G14" s="132">
        <f t="shared" si="7"/>
        <v>0.75616438356164384</v>
      </c>
      <c r="H14" s="303">
        <v>0</v>
      </c>
      <c r="I14" s="303">
        <v>0</v>
      </c>
      <c r="J14" s="134">
        <f t="shared" si="0"/>
        <v>0</v>
      </c>
      <c r="K14" s="303">
        <v>0</v>
      </c>
      <c r="L14" s="143" t="e">
        <f>+'Appendix A'!$G$20</f>
        <v>#DIV/0!</v>
      </c>
      <c r="M14" s="135" t="e">
        <f t="shared" si="1"/>
        <v>#DIV/0!</v>
      </c>
      <c r="N14" s="134" t="e">
        <f t="shared" si="2"/>
        <v>#DIV/0!</v>
      </c>
      <c r="O14" s="303">
        <v>0</v>
      </c>
      <c r="P14" s="119" t="e">
        <f>+'Appendix A'!$D$156</f>
        <v>#DIV/0!</v>
      </c>
      <c r="Q14" s="135" t="e">
        <f t="shared" si="3"/>
        <v>#DIV/0!</v>
      </c>
      <c r="R14" s="134" t="e">
        <f t="shared" si="4"/>
        <v>#DIV/0!</v>
      </c>
      <c r="S14" s="193" t="e">
        <f t="shared" si="5"/>
        <v>#DIV/0!</v>
      </c>
    </row>
    <row r="15" spans="1:19" ht="15.75">
      <c r="A15" s="313">
        <f t="shared" ref="A15:A24" si="10">+A14+1</f>
        <v>5</v>
      </c>
      <c r="B15" s="126" t="s">
        <v>54</v>
      </c>
      <c r="C15" s="302">
        <f t="shared" si="8"/>
        <v>2021</v>
      </c>
      <c r="D15" s="136">
        <v>30</v>
      </c>
      <c r="E15" s="137">
        <f t="shared" si="6"/>
        <v>246</v>
      </c>
      <c r="F15" s="137">
        <f t="shared" si="9"/>
        <v>365</v>
      </c>
      <c r="G15" s="132">
        <f t="shared" si="7"/>
        <v>0.67397260273972603</v>
      </c>
      <c r="H15" s="303">
        <v>0</v>
      </c>
      <c r="I15" s="303">
        <v>0</v>
      </c>
      <c r="J15" s="134">
        <f t="shared" si="0"/>
        <v>0</v>
      </c>
      <c r="K15" s="303">
        <v>0</v>
      </c>
      <c r="L15" s="143" t="e">
        <f>+'Appendix A'!$G$20</f>
        <v>#DIV/0!</v>
      </c>
      <c r="M15" s="135" t="e">
        <f t="shared" si="1"/>
        <v>#DIV/0!</v>
      </c>
      <c r="N15" s="134" t="e">
        <f t="shared" si="2"/>
        <v>#DIV/0!</v>
      </c>
      <c r="O15" s="303">
        <v>0</v>
      </c>
      <c r="P15" s="119" t="e">
        <f>+'Appendix A'!$D$156</f>
        <v>#DIV/0!</v>
      </c>
      <c r="Q15" s="135" t="e">
        <f t="shared" si="3"/>
        <v>#DIV/0!</v>
      </c>
      <c r="R15" s="134" t="e">
        <f t="shared" si="4"/>
        <v>#DIV/0!</v>
      </c>
      <c r="S15" s="193" t="e">
        <f t="shared" si="5"/>
        <v>#DIV/0!</v>
      </c>
    </row>
    <row r="16" spans="1:19" ht="15.75">
      <c r="A16" s="313">
        <f t="shared" si="10"/>
        <v>6</v>
      </c>
      <c r="B16" s="126" t="s">
        <v>51</v>
      </c>
      <c r="C16" s="302">
        <f t="shared" si="8"/>
        <v>2021</v>
      </c>
      <c r="D16" s="136">
        <v>31</v>
      </c>
      <c r="E16" s="137">
        <f t="shared" si="6"/>
        <v>215</v>
      </c>
      <c r="F16" s="137">
        <f t="shared" si="9"/>
        <v>365</v>
      </c>
      <c r="G16" s="132">
        <f t="shared" si="7"/>
        <v>0.58904109589041098</v>
      </c>
      <c r="H16" s="303">
        <v>0</v>
      </c>
      <c r="I16" s="303">
        <v>0</v>
      </c>
      <c r="J16" s="134">
        <f t="shared" si="0"/>
        <v>0</v>
      </c>
      <c r="K16" s="303">
        <v>0</v>
      </c>
      <c r="L16" s="143" t="e">
        <f>+'Appendix A'!$G$20</f>
        <v>#DIV/0!</v>
      </c>
      <c r="M16" s="135" t="e">
        <f t="shared" si="1"/>
        <v>#DIV/0!</v>
      </c>
      <c r="N16" s="134" t="e">
        <f t="shared" si="2"/>
        <v>#DIV/0!</v>
      </c>
      <c r="O16" s="303">
        <v>0</v>
      </c>
      <c r="P16" s="119" t="e">
        <f>+'Appendix A'!$D$156</f>
        <v>#DIV/0!</v>
      </c>
      <c r="Q16" s="135" t="e">
        <f t="shared" si="3"/>
        <v>#DIV/0!</v>
      </c>
      <c r="R16" s="134" t="e">
        <f t="shared" si="4"/>
        <v>#DIV/0!</v>
      </c>
      <c r="S16" s="193" t="e">
        <f t="shared" si="5"/>
        <v>#DIV/0!</v>
      </c>
    </row>
    <row r="17" spans="1:19" ht="15.75">
      <c r="A17" s="313">
        <f t="shared" si="10"/>
        <v>7</v>
      </c>
      <c r="B17" s="126" t="s">
        <v>55</v>
      </c>
      <c r="C17" s="302">
        <f t="shared" si="8"/>
        <v>2021</v>
      </c>
      <c r="D17" s="136">
        <v>30</v>
      </c>
      <c r="E17" s="137">
        <f t="shared" si="6"/>
        <v>185</v>
      </c>
      <c r="F17" s="137">
        <f t="shared" si="9"/>
        <v>365</v>
      </c>
      <c r="G17" s="132">
        <f t="shared" si="7"/>
        <v>0.50684931506849318</v>
      </c>
      <c r="H17" s="303">
        <v>0</v>
      </c>
      <c r="I17" s="303">
        <v>0</v>
      </c>
      <c r="J17" s="134">
        <f t="shared" si="0"/>
        <v>0</v>
      </c>
      <c r="K17" s="303">
        <v>0</v>
      </c>
      <c r="L17" s="143" t="e">
        <f>+'Appendix A'!$G$20</f>
        <v>#DIV/0!</v>
      </c>
      <c r="M17" s="135" t="e">
        <f t="shared" si="1"/>
        <v>#DIV/0!</v>
      </c>
      <c r="N17" s="134" t="e">
        <f t="shared" si="2"/>
        <v>#DIV/0!</v>
      </c>
      <c r="O17" s="303">
        <v>0</v>
      </c>
      <c r="P17" s="119" t="e">
        <f>+'Appendix A'!$D$156</f>
        <v>#DIV/0!</v>
      </c>
      <c r="Q17" s="135" t="e">
        <f t="shared" si="3"/>
        <v>#DIV/0!</v>
      </c>
      <c r="R17" s="134" t="e">
        <f t="shared" si="4"/>
        <v>#DIV/0!</v>
      </c>
      <c r="S17" s="193" t="e">
        <f t="shared" si="5"/>
        <v>#DIV/0!</v>
      </c>
    </row>
    <row r="18" spans="1:19" ht="15.75">
      <c r="A18" s="313">
        <f t="shared" si="10"/>
        <v>8</v>
      </c>
      <c r="B18" s="126" t="s">
        <v>56</v>
      </c>
      <c r="C18" s="302">
        <f t="shared" si="8"/>
        <v>2021</v>
      </c>
      <c r="D18" s="136">
        <v>31</v>
      </c>
      <c r="E18" s="137">
        <f t="shared" si="6"/>
        <v>154</v>
      </c>
      <c r="F18" s="137">
        <f t="shared" si="9"/>
        <v>365</v>
      </c>
      <c r="G18" s="132">
        <f t="shared" si="7"/>
        <v>0.42191780821917807</v>
      </c>
      <c r="H18" s="303">
        <v>0</v>
      </c>
      <c r="I18" s="303">
        <v>0</v>
      </c>
      <c r="J18" s="134">
        <f t="shared" si="0"/>
        <v>0</v>
      </c>
      <c r="K18" s="303">
        <v>0</v>
      </c>
      <c r="L18" s="143" t="e">
        <f>+'Appendix A'!$G$20</f>
        <v>#DIV/0!</v>
      </c>
      <c r="M18" s="135" t="e">
        <f t="shared" si="1"/>
        <v>#DIV/0!</v>
      </c>
      <c r="N18" s="134" t="e">
        <f t="shared" si="2"/>
        <v>#DIV/0!</v>
      </c>
      <c r="O18" s="303">
        <v>0</v>
      </c>
      <c r="P18" s="119" t="e">
        <f>+'Appendix A'!$D$156</f>
        <v>#DIV/0!</v>
      </c>
      <c r="Q18" s="135" t="e">
        <f t="shared" si="3"/>
        <v>#DIV/0!</v>
      </c>
      <c r="R18" s="134" t="e">
        <f t="shared" si="4"/>
        <v>#DIV/0!</v>
      </c>
      <c r="S18" s="193" t="e">
        <f t="shared" si="5"/>
        <v>#DIV/0!</v>
      </c>
    </row>
    <row r="19" spans="1:19" ht="15.75">
      <c r="A19" s="313">
        <f t="shared" si="10"/>
        <v>9</v>
      </c>
      <c r="B19" s="126" t="s">
        <v>127</v>
      </c>
      <c r="C19" s="302">
        <f t="shared" si="8"/>
        <v>2021</v>
      </c>
      <c r="D19" s="136">
        <v>31</v>
      </c>
      <c r="E19" s="137">
        <f t="shared" si="6"/>
        <v>123</v>
      </c>
      <c r="F19" s="137">
        <f t="shared" si="9"/>
        <v>365</v>
      </c>
      <c r="G19" s="132">
        <f t="shared" si="7"/>
        <v>0.33698630136986302</v>
      </c>
      <c r="H19" s="303">
        <v>0</v>
      </c>
      <c r="I19" s="303">
        <v>0</v>
      </c>
      <c r="J19" s="134">
        <f t="shared" si="0"/>
        <v>0</v>
      </c>
      <c r="K19" s="303">
        <v>0</v>
      </c>
      <c r="L19" s="143" t="e">
        <f>+'Appendix A'!$G$20</f>
        <v>#DIV/0!</v>
      </c>
      <c r="M19" s="135" t="e">
        <f t="shared" si="1"/>
        <v>#DIV/0!</v>
      </c>
      <c r="N19" s="134" t="e">
        <f t="shared" si="2"/>
        <v>#DIV/0!</v>
      </c>
      <c r="O19" s="303">
        <v>0</v>
      </c>
      <c r="P19" s="119" t="e">
        <f>+'Appendix A'!$D$156</f>
        <v>#DIV/0!</v>
      </c>
      <c r="Q19" s="135" t="e">
        <f t="shared" si="3"/>
        <v>#DIV/0!</v>
      </c>
      <c r="R19" s="134" t="e">
        <f t="shared" si="4"/>
        <v>#DIV/0!</v>
      </c>
      <c r="S19" s="193" t="e">
        <f t="shared" si="5"/>
        <v>#DIV/0!</v>
      </c>
    </row>
    <row r="20" spans="1:19" ht="15.75">
      <c r="A20" s="313">
        <f t="shared" si="10"/>
        <v>10</v>
      </c>
      <c r="B20" s="126" t="s">
        <v>58</v>
      </c>
      <c r="C20" s="302">
        <f t="shared" si="8"/>
        <v>2021</v>
      </c>
      <c r="D20" s="136">
        <v>30</v>
      </c>
      <c r="E20" s="137">
        <f t="shared" si="6"/>
        <v>93</v>
      </c>
      <c r="F20" s="137">
        <f t="shared" si="9"/>
        <v>365</v>
      </c>
      <c r="G20" s="132">
        <f t="shared" si="7"/>
        <v>0.25479452054794521</v>
      </c>
      <c r="H20" s="303">
        <v>0</v>
      </c>
      <c r="I20" s="303">
        <v>0</v>
      </c>
      <c r="J20" s="134">
        <f t="shared" si="0"/>
        <v>0</v>
      </c>
      <c r="K20" s="303">
        <v>0</v>
      </c>
      <c r="L20" s="143" t="e">
        <f>+'Appendix A'!$G$20</f>
        <v>#DIV/0!</v>
      </c>
      <c r="M20" s="135" t="e">
        <f t="shared" si="1"/>
        <v>#DIV/0!</v>
      </c>
      <c r="N20" s="134" t="e">
        <f t="shared" si="2"/>
        <v>#DIV/0!</v>
      </c>
      <c r="O20" s="303">
        <v>0</v>
      </c>
      <c r="P20" s="119" t="e">
        <f>+'Appendix A'!$D$156</f>
        <v>#DIV/0!</v>
      </c>
      <c r="Q20" s="135" t="e">
        <f t="shared" si="3"/>
        <v>#DIV/0!</v>
      </c>
      <c r="R20" s="134" t="e">
        <f t="shared" si="4"/>
        <v>#DIV/0!</v>
      </c>
      <c r="S20" s="193" t="e">
        <f t="shared" si="5"/>
        <v>#DIV/0!</v>
      </c>
    </row>
    <row r="21" spans="1:19" ht="15.75">
      <c r="A21" s="313">
        <f t="shared" si="10"/>
        <v>11</v>
      </c>
      <c r="B21" s="126" t="s">
        <v>59</v>
      </c>
      <c r="C21" s="302">
        <f t="shared" si="8"/>
        <v>2021</v>
      </c>
      <c r="D21" s="136">
        <v>31</v>
      </c>
      <c r="E21" s="137">
        <f>E22+D22</f>
        <v>62</v>
      </c>
      <c r="F21" s="137">
        <f t="shared" si="9"/>
        <v>365</v>
      </c>
      <c r="G21" s="132">
        <f t="shared" si="7"/>
        <v>0.16986301369863013</v>
      </c>
      <c r="H21" s="303">
        <v>0</v>
      </c>
      <c r="I21" s="303">
        <v>0</v>
      </c>
      <c r="J21" s="134">
        <f t="shared" si="0"/>
        <v>0</v>
      </c>
      <c r="K21" s="303">
        <v>0</v>
      </c>
      <c r="L21" s="143" t="e">
        <f>+'Appendix A'!$G$20</f>
        <v>#DIV/0!</v>
      </c>
      <c r="M21" s="135" t="e">
        <f t="shared" si="1"/>
        <v>#DIV/0!</v>
      </c>
      <c r="N21" s="134" t="e">
        <f t="shared" si="2"/>
        <v>#DIV/0!</v>
      </c>
      <c r="O21" s="303">
        <v>0</v>
      </c>
      <c r="P21" s="119" t="e">
        <f>+'Appendix A'!$D$156</f>
        <v>#DIV/0!</v>
      </c>
      <c r="Q21" s="135" t="e">
        <f t="shared" si="3"/>
        <v>#DIV/0!</v>
      </c>
      <c r="R21" s="134" t="e">
        <f t="shared" si="4"/>
        <v>#DIV/0!</v>
      </c>
      <c r="S21" s="193" t="e">
        <f t="shared" si="5"/>
        <v>#DIV/0!</v>
      </c>
    </row>
    <row r="22" spans="1:19" ht="15.75">
      <c r="A22" s="313">
        <f t="shared" si="10"/>
        <v>12</v>
      </c>
      <c r="B22" s="126" t="s">
        <v>60</v>
      </c>
      <c r="C22" s="302">
        <f t="shared" si="8"/>
        <v>2021</v>
      </c>
      <c r="D22" s="136">
        <v>30</v>
      </c>
      <c r="E22" s="137">
        <f>E23+D23</f>
        <v>32</v>
      </c>
      <c r="F22" s="137">
        <f t="shared" si="9"/>
        <v>365</v>
      </c>
      <c r="G22" s="132">
        <f t="shared" si="7"/>
        <v>8.7671232876712329E-2</v>
      </c>
      <c r="H22" s="303">
        <v>0</v>
      </c>
      <c r="I22" s="303">
        <v>0</v>
      </c>
      <c r="J22" s="134">
        <f t="shared" si="0"/>
        <v>0</v>
      </c>
      <c r="K22" s="303">
        <v>0</v>
      </c>
      <c r="L22" s="143" t="e">
        <f>+'Appendix A'!$G$20</f>
        <v>#DIV/0!</v>
      </c>
      <c r="M22" s="135" t="e">
        <f t="shared" si="1"/>
        <v>#DIV/0!</v>
      </c>
      <c r="N22" s="134" t="e">
        <f t="shared" si="2"/>
        <v>#DIV/0!</v>
      </c>
      <c r="O22" s="303">
        <v>0</v>
      </c>
      <c r="P22" s="119" t="e">
        <f>+'Appendix A'!$D$156</f>
        <v>#DIV/0!</v>
      </c>
      <c r="Q22" s="135" t="e">
        <f t="shared" si="3"/>
        <v>#DIV/0!</v>
      </c>
      <c r="R22" s="134" t="e">
        <f t="shared" si="4"/>
        <v>#DIV/0!</v>
      </c>
      <c r="S22" s="193" t="e">
        <f t="shared" si="5"/>
        <v>#DIV/0!</v>
      </c>
    </row>
    <row r="23" spans="1:19" ht="17.25">
      <c r="A23" s="313">
        <f t="shared" si="10"/>
        <v>13</v>
      </c>
      <c r="B23" s="126" t="s">
        <v>128</v>
      </c>
      <c r="C23" s="302">
        <f t="shared" si="8"/>
        <v>2021</v>
      </c>
      <c r="D23" s="351">
        <v>31</v>
      </c>
      <c r="E23" s="137">
        <v>1</v>
      </c>
      <c r="F23" s="137">
        <f t="shared" si="9"/>
        <v>365</v>
      </c>
      <c r="G23" s="132">
        <f t="shared" si="7"/>
        <v>2.7397260273972603E-3</v>
      </c>
      <c r="H23" s="305">
        <v>0</v>
      </c>
      <c r="I23" s="305">
        <v>0</v>
      </c>
      <c r="J23" s="306">
        <f t="shared" si="0"/>
        <v>0</v>
      </c>
      <c r="K23" s="304">
        <v>0</v>
      </c>
      <c r="L23" s="143" t="e">
        <f>+'Appendix A'!$G$20</f>
        <v>#DIV/0!</v>
      </c>
      <c r="M23" s="135" t="e">
        <f t="shared" si="1"/>
        <v>#DIV/0!</v>
      </c>
      <c r="N23" s="140" t="e">
        <f t="shared" si="2"/>
        <v>#DIV/0!</v>
      </c>
      <c r="O23" s="305">
        <v>0</v>
      </c>
      <c r="P23" s="119" t="e">
        <f>+'Appendix A'!$D$156</f>
        <v>#DIV/0!</v>
      </c>
      <c r="Q23" s="135" t="e">
        <f t="shared" si="3"/>
        <v>#DIV/0!</v>
      </c>
      <c r="R23" s="140" t="e">
        <f t="shared" si="4"/>
        <v>#DIV/0!</v>
      </c>
      <c r="S23" s="194" t="e">
        <f t="shared" si="5"/>
        <v>#DIV/0!</v>
      </c>
    </row>
    <row r="24" spans="1:19" ht="15.75">
      <c r="A24" s="313">
        <f t="shared" si="10"/>
        <v>14</v>
      </c>
      <c r="B24" s="141" t="s">
        <v>207</v>
      </c>
      <c r="C24" s="126"/>
      <c r="D24" s="142">
        <f>+SUM(D12:D23)</f>
        <v>365</v>
      </c>
      <c r="E24" s="126"/>
      <c r="F24" s="126"/>
      <c r="G24" s="126"/>
      <c r="H24" s="133">
        <f>+SUM(H11:H23)</f>
        <v>0</v>
      </c>
      <c r="I24" s="134">
        <f>SUM(I11:I23)</f>
        <v>0</v>
      </c>
      <c r="J24" s="134">
        <f t="shared" ref="J24:O24" si="11">SUM(J11:J23)</f>
        <v>0</v>
      </c>
      <c r="K24" s="134">
        <f t="shared" si="11"/>
        <v>0</v>
      </c>
      <c r="L24" s="134"/>
      <c r="M24" s="134"/>
      <c r="N24" s="134" t="e">
        <f t="shared" ref="N24" si="12">SUM(N11:N23)</f>
        <v>#DIV/0!</v>
      </c>
      <c r="O24" s="134">
        <f t="shared" si="11"/>
        <v>0</v>
      </c>
      <c r="P24" s="134"/>
      <c r="Q24" s="134"/>
      <c r="R24" s="134" t="e">
        <f t="shared" ref="R24" si="13">SUM(R11:R23)</f>
        <v>#DIV/0!</v>
      </c>
      <c r="S24" s="193" t="e">
        <f t="shared" si="5"/>
        <v>#DIV/0!</v>
      </c>
    </row>
    <row r="25" spans="1:19" ht="15.75">
      <c r="B25" s="141"/>
      <c r="C25" s="126"/>
      <c r="D25" s="142"/>
      <c r="E25" s="126"/>
      <c r="F25" s="126"/>
      <c r="G25" s="126"/>
      <c r="H25" s="142"/>
      <c r="I25" s="142"/>
      <c r="J25" s="142"/>
      <c r="K25" s="142"/>
      <c r="L25" s="142"/>
      <c r="M25" s="142"/>
      <c r="N25" s="142"/>
      <c r="O25" s="142"/>
      <c r="P25" s="142"/>
      <c r="Q25" s="142"/>
      <c r="R25" s="142"/>
    </row>
    <row r="26" spans="1:19" ht="15.75">
      <c r="B26" s="141"/>
      <c r="C26" s="126"/>
      <c r="D26" s="142"/>
      <c r="E26" s="126"/>
      <c r="F26" s="126"/>
      <c r="G26" s="126"/>
      <c r="H26" s="142"/>
      <c r="I26" s="142"/>
      <c r="J26" s="142"/>
      <c r="K26" s="142"/>
      <c r="L26" s="142"/>
      <c r="M26" s="142"/>
      <c r="N26" s="142"/>
      <c r="O26" s="142"/>
      <c r="P26" s="142"/>
      <c r="Q26" s="142"/>
      <c r="R26" s="142"/>
    </row>
    <row r="27" spans="1:19" ht="15.75">
      <c r="B27" s="64" t="s">
        <v>214</v>
      </c>
      <c r="C27" s="64"/>
      <c r="D27" s="64"/>
      <c r="E27" s="64"/>
      <c r="F27" s="64"/>
      <c r="G27" s="64"/>
      <c r="H27" s="64"/>
      <c r="I27" s="64"/>
      <c r="J27" s="64"/>
      <c r="K27" s="64"/>
      <c r="L27" s="64"/>
      <c r="M27" s="64"/>
      <c r="N27" s="64"/>
      <c r="O27" s="64"/>
      <c r="P27" s="64"/>
      <c r="Q27" s="64"/>
      <c r="R27" s="64"/>
    </row>
    <row r="28" spans="1:19" ht="15.75">
      <c r="B28" s="64" t="s">
        <v>503</v>
      </c>
      <c r="C28" s="64"/>
      <c r="D28" s="64"/>
      <c r="E28" s="64"/>
      <c r="F28" s="64"/>
      <c r="G28" s="64"/>
      <c r="H28" s="64"/>
      <c r="I28" s="64"/>
      <c r="J28" s="64"/>
      <c r="K28" s="64"/>
      <c r="L28" s="64"/>
      <c r="M28" s="64"/>
      <c r="N28" s="64"/>
      <c r="O28" s="64"/>
      <c r="P28" s="64"/>
      <c r="Q28" s="64"/>
      <c r="R28" s="64"/>
    </row>
  </sheetData>
  <mergeCells count="3">
    <mergeCell ref="B1:S1"/>
    <mergeCell ref="B2:S2"/>
    <mergeCell ref="B3:S3"/>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3:P53"/>
  <sheetViews>
    <sheetView zoomScale="80" zoomScaleNormal="80" zoomScalePageLayoutView="80" workbookViewId="0">
      <selection activeCell="I16" sqref="I16"/>
    </sheetView>
  </sheetViews>
  <sheetFormatPr defaultRowHeight="15"/>
  <cols>
    <col min="1" max="1" width="6.28515625" customWidth="1"/>
    <col min="2" max="2" width="25.7109375" customWidth="1"/>
    <col min="3" max="3" width="14.85546875" customWidth="1"/>
    <col min="4" max="4" width="13.5703125" customWidth="1"/>
    <col min="5" max="5" width="15.28515625" customWidth="1"/>
    <col min="6" max="6" width="14.42578125" customWidth="1"/>
    <col min="7" max="7" width="13.85546875" customWidth="1"/>
    <col min="8" max="8" width="15.28515625" customWidth="1"/>
    <col min="9" max="9" width="24.5703125" customWidth="1"/>
    <col min="10" max="10" width="4.7109375" customWidth="1"/>
    <col min="11" max="11" width="21.85546875" customWidth="1"/>
    <col min="12" max="12" width="16.7109375" customWidth="1"/>
    <col min="13" max="13" width="18.28515625" customWidth="1"/>
    <col min="14" max="14" width="19.7109375" customWidth="1"/>
    <col min="15" max="15" width="23.28515625" customWidth="1"/>
    <col min="16" max="16" width="26.28515625" customWidth="1"/>
  </cols>
  <sheetData>
    <row r="3" spans="1:16" ht="18">
      <c r="B3" s="664" t="s">
        <v>576</v>
      </c>
      <c r="C3" s="664"/>
      <c r="D3" s="664"/>
      <c r="E3" s="664"/>
      <c r="F3" s="664"/>
      <c r="G3" s="664"/>
      <c r="H3" s="664"/>
      <c r="I3" s="664"/>
      <c r="J3" s="664"/>
      <c r="K3" s="664"/>
      <c r="L3" s="664"/>
      <c r="M3" s="664"/>
      <c r="N3" s="664"/>
      <c r="O3" s="664"/>
      <c r="P3" s="664"/>
    </row>
    <row r="4" spans="1:16" ht="18">
      <c r="B4" s="664" t="s">
        <v>544</v>
      </c>
      <c r="C4" s="664"/>
      <c r="D4" s="664"/>
      <c r="E4" s="664"/>
      <c r="F4" s="664"/>
      <c r="G4" s="664"/>
      <c r="H4" s="664"/>
      <c r="I4" s="664"/>
      <c r="J4" s="664"/>
      <c r="K4" s="664"/>
      <c r="L4" s="664"/>
      <c r="M4" s="664"/>
      <c r="N4" s="664"/>
      <c r="O4" s="664"/>
      <c r="P4" s="664"/>
    </row>
    <row r="5" spans="1:16" ht="18">
      <c r="B5" s="666" t="str">
        <f>+'Appendix A'!H3</f>
        <v>Projected ATRR or Actual ATRR for the 12 Months Ended 12/31/XXXX</v>
      </c>
      <c r="C5" s="666"/>
      <c r="D5" s="666"/>
      <c r="E5" s="666"/>
      <c r="F5" s="666"/>
      <c r="G5" s="666"/>
      <c r="H5" s="666"/>
      <c r="I5" s="666"/>
      <c r="J5" s="666"/>
      <c r="K5" s="666"/>
      <c r="L5" s="666"/>
      <c r="M5" s="666"/>
      <c r="N5" s="666"/>
      <c r="O5" s="666"/>
      <c r="P5" s="666"/>
    </row>
    <row r="6" spans="1:16" ht="18">
      <c r="B6" s="173"/>
      <c r="P6" s="71"/>
    </row>
    <row r="7" spans="1:16" ht="15.75">
      <c r="B7" s="53" t="s">
        <v>498</v>
      </c>
      <c r="C7" s="550"/>
      <c r="H7" s="144"/>
    </row>
    <row r="8" spans="1:16" ht="15.75">
      <c r="A8" s="64"/>
      <c r="B8" s="64" t="s">
        <v>215</v>
      </c>
      <c r="C8" s="64"/>
      <c r="D8" s="64"/>
      <c r="E8" s="64"/>
      <c r="F8" s="64"/>
      <c r="G8" s="64"/>
      <c r="H8" s="64"/>
      <c r="I8" s="64"/>
      <c r="J8" s="64"/>
      <c r="K8" s="64"/>
      <c r="L8" s="64"/>
      <c r="M8" s="64"/>
      <c r="N8" s="64"/>
      <c r="O8" s="64"/>
      <c r="P8" s="64"/>
    </row>
    <row r="9" spans="1:16" ht="15.75">
      <c r="A9" s="64"/>
      <c r="B9" s="64"/>
      <c r="C9" s="64"/>
      <c r="D9" s="64"/>
      <c r="E9" s="64"/>
      <c r="F9" s="64"/>
      <c r="G9" s="64"/>
      <c r="H9" s="64"/>
      <c r="I9" s="64"/>
      <c r="J9" s="64"/>
      <c r="K9" s="64"/>
      <c r="L9" s="64"/>
      <c r="M9" s="64"/>
      <c r="N9" s="64"/>
      <c r="O9" s="64"/>
      <c r="P9" s="64"/>
    </row>
    <row r="11" spans="1:16" ht="15.75">
      <c r="A11" s="145"/>
      <c r="B11" s="146" t="s">
        <v>212</v>
      </c>
      <c r="C11" s="145"/>
      <c r="D11" s="145"/>
      <c r="E11" s="145"/>
      <c r="F11" s="145"/>
      <c r="G11" s="145"/>
      <c r="H11" s="145"/>
      <c r="I11" s="145"/>
      <c r="J11" s="145"/>
      <c r="K11" s="146"/>
      <c r="L11" s="145"/>
      <c r="M11" s="145"/>
      <c r="N11" s="145"/>
      <c r="O11" s="145"/>
      <c r="P11" s="145"/>
    </row>
    <row r="12" spans="1:16" ht="37.5" customHeight="1">
      <c r="A12" s="145"/>
      <c r="B12" s="668" t="s">
        <v>216</v>
      </c>
      <c r="C12" s="669"/>
      <c r="D12" s="669"/>
      <c r="E12" s="669"/>
      <c r="F12" s="670"/>
      <c r="G12" s="671" t="s">
        <v>217</v>
      </c>
      <c r="H12" s="672"/>
      <c r="I12" s="673"/>
      <c r="J12" s="147"/>
      <c r="K12" s="674" t="s">
        <v>218</v>
      </c>
      <c r="L12" s="675"/>
      <c r="M12" s="675"/>
      <c r="N12" s="675"/>
      <c r="O12" s="675"/>
      <c r="P12" s="676"/>
    </row>
    <row r="13" spans="1:16" ht="15.75">
      <c r="A13" s="145"/>
      <c r="B13" s="307" t="s">
        <v>68</v>
      </c>
      <c r="C13" s="307" t="s">
        <v>69</v>
      </c>
      <c r="D13" s="307" t="s">
        <v>70</v>
      </c>
      <c r="E13" s="307" t="s">
        <v>71</v>
      </c>
      <c r="F13" s="307" t="s">
        <v>72</v>
      </c>
      <c r="G13" s="307" t="s">
        <v>73</v>
      </c>
      <c r="H13" s="307" t="s">
        <v>74</v>
      </c>
      <c r="I13" s="307" t="s">
        <v>75</v>
      </c>
      <c r="J13" s="308"/>
      <c r="K13" s="307" t="s">
        <v>92</v>
      </c>
      <c r="L13" s="307" t="s">
        <v>93</v>
      </c>
      <c r="M13" s="307" t="s">
        <v>97</v>
      </c>
      <c r="N13" s="307" t="s">
        <v>120</v>
      </c>
      <c r="O13" s="307" t="s">
        <v>193</v>
      </c>
      <c r="P13" s="307" t="s">
        <v>194</v>
      </c>
    </row>
    <row r="14" spans="1:16" ht="150">
      <c r="A14" s="145"/>
      <c r="B14" s="148" t="s">
        <v>50</v>
      </c>
      <c r="C14" s="148" t="s">
        <v>200</v>
      </c>
      <c r="D14" s="148" t="s">
        <v>219</v>
      </c>
      <c r="E14" s="148" t="s">
        <v>492</v>
      </c>
      <c r="F14" s="148" t="s">
        <v>446</v>
      </c>
      <c r="G14" s="148" t="s">
        <v>220</v>
      </c>
      <c r="H14" s="148" t="s">
        <v>447</v>
      </c>
      <c r="I14" s="148" t="s">
        <v>448</v>
      </c>
      <c r="J14" s="149"/>
      <c r="K14" s="150" t="s">
        <v>449</v>
      </c>
      <c r="L14" s="150" t="s">
        <v>450</v>
      </c>
      <c r="M14" s="150" t="s">
        <v>451</v>
      </c>
      <c r="N14" s="150" t="s">
        <v>452</v>
      </c>
      <c r="O14" s="150" t="s">
        <v>453</v>
      </c>
      <c r="P14" s="150" t="s">
        <v>454</v>
      </c>
    </row>
    <row r="15" spans="1:16" ht="15.75">
      <c r="A15" s="145"/>
      <c r="B15" s="145"/>
      <c r="C15" s="149"/>
      <c r="D15" s="149"/>
      <c r="E15" s="149"/>
      <c r="F15" s="149"/>
      <c r="G15" s="149"/>
      <c r="H15" s="149"/>
      <c r="I15" s="149"/>
      <c r="J15" s="149"/>
      <c r="K15" s="151"/>
      <c r="L15" s="151"/>
      <c r="M15" s="151"/>
      <c r="N15" s="151"/>
      <c r="O15" s="151"/>
      <c r="P15" s="151"/>
    </row>
    <row r="16" spans="1:16" ht="15.75">
      <c r="A16" s="145">
        <v>1</v>
      </c>
      <c r="B16" s="152" t="s">
        <v>227</v>
      </c>
      <c r="C16" s="153"/>
      <c r="D16" s="137"/>
      <c r="E16" s="137"/>
      <c r="F16" s="137"/>
      <c r="G16" s="154"/>
      <c r="H16" s="154"/>
      <c r="I16" s="155">
        <v>0</v>
      </c>
      <c r="J16" s="156"/>
      <c r="K16" s="157"/>
      <c r="L16" s="158"/>
      <c r="M16" s="158"/>
      <c r="N16" s="158"/>
      <c r="O16" s="158"/>
      <c r="P16" s="159">
        <f>+I16</f>
        <v>0</v>
      </c>
    </row>
    <row r="17" spans="1:16" ht="15.75">
      <c r="A17" s="145">
        <f t="shared" ref="A17:A29" si="0">+A16+1</f>
        <v>2</v>
      </c>
      <c r="B17" s="153" t="s">
        <v>124</v>
      </c>
      <c r="C17" s="136">
        <v>31</v>
      </c>
      <c r="D17" s="137">
        <f t="shared" ref="D17:D27" si="1">D18+C18</f>
        <v>335</v>
      </c>
      <c r="E17" s="137">
        <f>SUM(C17:C28)</f>
        <v>365</v>
      </c>
      <c r="F17" s="132">
        <f>+D17/E17</f>
        <v>0.9178082191780822</v>
      </c>
      <c r="G17" s="155">
        <v>0</v>
      </c>
      <c r="H17" s="154">
        <f t="shared" ref="H17:H28" si="2">+G17*F17</f>
        <v>0</v>
      </c>
      <c r="I17" s="154">
        <f t="shared" ref="I17:I19" si="3">+H17+I16</f>
        <v>0</v>
      </c>
      <c r="J17" s="156"/>
      <c r="K17" s="160" t="e">
        <f>+M35</f>
        <v>#DIV/0!</v>
      </c>
      <c r="L17" s="158" t="e">
        <f>K17-G17</f>
        <v>#DIV/0!</v>
      </c>
      <c r="M17" s="159" t="e">
        <f>IF(AND(G17&gt;=0,K17&gt;=0),IF(L17&gt;=0,H17,K17/G17*H17),IF(AND(G17&lt;0,K17&lt;0),IF(L17&lt;0,H17,K17/G17*H17),0))</f>
        <v>#DIV/0!</v>
      </c>
      <c r="N17" s="159" t="e">
        <f>IF(AND(G17&gt;=0,K17&gt;=0),IF(L17&gt;=0,L17,0),IF(AND(G17&lt;0,K17&lt;0),IF(L17&lt;0,L17,0),0))</f>
        <v>#DIV/0!</v>
      </c>
      <c r="O17" s="159" t="e">
        <f>IF(AND(G17&gt;=0,K17&lt;0),K17,IF(AND(G17&lt;0,K17&gt;=0),K17,0))</f>
        <v>#DIV/0!</v>
      </c>
      <c r="P17" s="159" t="e">
        <f>P16+M17+(N17+O17)*0.5</f>
        <v>#DIV/0!</v>
      </c>
    </row>
    <row r="18" spans="1:16" ht="15.75">
      <c r="A18" s="145">
        <f t="shared" si="0"/>
        <v>3</v>
      </c>
      <c r="B18" s="153" t="s">
        <v>52</v>
      </c>
      <c r="C18" s="139">
        <v>28</v>
      </c>
      <c r="D18" s="137">
        <f t="shared" si="1"/>
        <v>307</v>
      </c>
      <c r="E18" s="137">
        <f>E17</f>
        <v>365</v>
      </c>
      <c r="F18" s="132">
        <f t="shared" ref="F18:F28" si="4">+D18/E18</f>
        <v>0.84109589041095889</v>
      </c>
      <c r="G18" s="155">
        <v>0</v>
      </c>
      <c r="H18" s="154">
        <f t="shared" si="2"/>
        <v>0</v>
      </c>
      <c r="I18" s="154">
        <f t="shared" si="3"/>
        <v>0</v>
      </c>
      <c r="J18" s="156"/>
      <c r="K18" s="160" t="e">
        <f t="shared" ref="K18:K28" si="5">+M36</f>
        <v>#DIV/0!</v>
      </c>
      <c r="L18" s="158" t="e">
        <f>K18-G18</f>
        <v>#DIV/0!</v>
      </c>
      <c r="M18" s="159" t="e">
        <f t="shared" ref="M18:M28" si="6">IF(AND(G18&gt;=0,K18&gt;=0),IF(L18&gt;=0,H18,K18/G18*H18),IF(AND(G18&lt;0,K18&lt;0),IF(L18&lt;0,H18,K18/G18*H18),0))</f>
        <v>#DIV/0!</v>
      </c>
      <c r="N18" s="159" t="e">
        <f t="shared" ref="N18:N28" si="7">IF(AND(G18&gt;=0,K18&gt;=0),IF(L18&gt;=0,L18,0),IF(AND(G18&lt;0,K18&lt;0),IF(L18&lt;0,L18,0),0))</f>
        <v>#DIV/0!</v>
      </c>
      <c r="O18" s="159" t="e">
        <f t="shared" ref="O18:O28" si="8">IF(AND(G18&gt;=0,K18&lt;0),K18,IF(AND(G18&lt;0,K18&gt;=0),K18,0))</f>
        <v>#DIV/0!</v>
      </c>
      <c r="P18" s="159" t="e">
        <f>P17+M18+(N18+O18)*0.5</f>
        <v>#DIV/0!</v>
      </c>
    </row>
    <row r="19" spans="1:16" ht="15.75">
      <c r="A19" s="145">
        <f t="shared" si="0"/>
        <v>4</v>
      </c>
      <c r="B19" s="153" t="s">
        <v>125</v>
      </c>
      <c r="C19" s="136">
        <v>31</v>
      </c>
      <c r="D19" s="137">
        <f t="shared" si="1"/>
        <v>276</v>
      </c>
      <c r="E19" s="137">
        <f t="shared" ref="E19:E28" si="9">E18</f>
        <v>365</v>
      </c>
      <c r="F19" s="132">
        <f t="shared" si="4"/>
        <v>0.75616438356164384</v>
      </c>
      <c r="G19" s="155">
        <v>0</v>
      </c>
      <c r="H19" s="154">
        <f t="shared" si="2"/>
        <v>0</v>
      </c>
      <c r="I19" s="154">
        <f t="shared" si="3"/>
        <v>0</v>
      </c>
      <c r="J19" s="156"/>
      <c r="K19" s="160" t="e">
        <f t="shared" si="5"/>
        <v>#DIV/0!</v>
      </c>
      <c r="L19" s="158" t="e">
        <f t="shared" ref="L19:L28" si="10">K19-G19</f>
        <v>#DIV/0!</v>
      </c>
      <c r="M19" s="159" t="e">
        <f t="shared" si="6"/>
        <v>#DIV/0!</v>
      </c>
      <c r="N19" s="159" t="e">
        <f t="shared" si="7"/>
        <v>#DIV/0!</v>
      </c>
      <c r="O19" s="159" t="e">
        <f t="shared" si="8"/>
        <v>#DIV/0!</v>
      </c>
      <c r="P19" s="159" t="e">
        <f>P18+M19+(N19+O19)*0.5</f>
        <v>#DIV/0!</v>
      </c>
    </row>
    <row r="20" spans="1:16" ht="15.75">
      <c r="A20" s="145">
        <f t="shared" si="0"/>
        <v>5</v>
      </c>
      <c r="B20" s="153" t="s">
        <v>54</v>
      </c>
      <c r="C20" s="136">
        <v>30</v>
      </c>
      <c r="D20" s="137">
        <f t="shared" si="1"/>
        <v>246</v>
      </c>
      <c r="E20" s="137">
        <f t="shared" si="9"/>
        <v>365</v>
      </c>
      <c r="F20" s="132">
        <f t="shared" si="4"/>
        <v>0.67397260273972603</v>
      </c>
      <c r="G20" s="155">
        <v>0</v>
      </c>
      <c r="H20" s="154">
        <f t="shared" si="2"/>
        <v>0</v>
      </c>
      <c r="I20" s="154">
        <f>+H20+I19</f>
        <v>0</v>
      </c>
      <c r="J20" s="156"/>
      <c r="K20" s="160" t="e">
        <f t="shared" si="5"/>
        <v>#DIV/0!</v>
      </c>
      <c r="L20" s="158" t="e">
        <f t="shared" si="10"/>
        <v>#DIV/0!</v>
      </c>
      <c r="M20" s="159" t="e">
        <f t="shared" si="6"/>
        <v>#DIV/0!</v>
      </c>
      <c r="N20" s="159" t="e">
        <f t="shared" si="7"/>
        <v>#DIV/0!</v>
      </c>
      <c r="O20" s="159" t="e">
        <f t="shared" si="8"/>
        <v>#DIV/0!</v>
      </c>
      <c r="P20" s="159" t="e">
        <f t="shared" ref="P20:P28" si="11">P19+M20+(N20+O20)*0.5</f>
        <v>#DIV/0!</v>
      </c>
    </row>
    <row r="21" spans="1:16" ht="15.75">
      <c r="A21" s="145">
        <f t="shared" si="0"/>
        <v>6</v>
      </c>
      <c r="B21" s="153" t="s">
        <v>51</v>
      </c>
      <c r="C21" s="136">
        <v>31</v>
      </c>
      <c r="D21" s="137">
        <f t="shared" si="1"/>
        <v>215</v>
      </c>
      <c r="E21" s="137">
        <f t="shared" si="9"/>
        <v>365</v>
      </c>
      <c r="F21" s="132">
        <f t="shared" si="4"/>
        <v>0.58904109589041098</v>
      </c>
      <c r="G21" s="155">
        <v>0</v>
      </c>
      <c r="H21" s="154">
        <f t="shared" si="2"/>
        <v>0</v>
      </c>
      <c r="I21" s="154">
        <f t="shared" ref="I21:I28" si="12">+H21+I20</f>
        <v>0</v>
      </c>
      <c r="J21" s="156"/>
      <c r="K21" s="160" t="e">
        <f t="shared" si="5"/>
        <v>#DIV/0!</v>
      </c>
      <c r="L21" s="158" t="e">
        <f t="shared" si="10"/>
        <v>#DIV/0!</v>
      </c>
      <c r="M21" s="159" t="e">
        <f t="shared" si="6"/>
        <v>#DIV/0!</v>
      </c>
      <c r="N21" s="159" t="e">
        <f t="shared" si="7"/>
        <v>#DIV/0!</v>
      </c>
      <c r="O21" s="159" t="e">
        <f t="shared" si="8"/>
        <v>#DIV/0!</v>
      </c>
      <c r="P21" s="159" t="e">
        <f t="shared" si="11"/>
        <v>#DIV/0!</v>
      </c>
    </row>
    <row r="22" spans="1:16" ht="15.75">
      <c r="A22" s="145">
        <f t="shared" si="0"/>
        <v>7</v>
      </c>
      <c r="B22" s="153" t="s">
        <v>55</v>
      </c>
      <c r="C22" s="136">
        <v>30</v>
      </c>
      <c r="D22" s="137">
        <f t="shared" si="1"/>
        <v>185</v>
      </c>
      <c r="E22" s="137">
        <f t="shared" si="9"/>
        <v>365</v>
      </c>
      <c r="F22" s="132">
        <f t="shared" si="4"/>
        <v>0.50684931506849318</v>
      </c>
      <c r="G22" s="155">
        <v>0</v>
      </c>
      <c r="H22" s="154">
        <f t="shared" si="2"/>
        <v>0</v>
      </c>
      <c r="I22" s="154">
        <f t="shared" si="12"/>
        <v>0</v>
      </c>
      <c r="J22" s="156"/>
      <c r="K22" s="160" t="e">
        <f t="shared" si="5"/>
        <v>#DIV/0!</v>
      </c>
      <c r="L22" s="158" t="e">
        <f t="shared" si="10"/>
        <v>#DIV/0!</v>
      </c>
      <c r="M22" s="159" t="e">
        <f t="shared" si="6"/>
        <v>#DIV/0!</v>
      </c>
      <c r="N22" s="159" t="e">
        <f t="shared" si="7"/>
        <v>#DIV/0!</v>
      </c>
      <c r="O22" s="159" t="e">
        <f t="shared" si="8"/>
        <v>#DIV/0!</v>
      </c>
      <c r="P22" s="159" t="e">
        <f t="shared" si="11"/>
        <v>#DIV/0!</v>
      </c>
    </row>
    <row r="23" spans="1:16" ht="15.75">
      <c r="A23" s="145">
        <f t="shared" si="0"/>
        <v>8</v>
      </c>
      <c r="B23" s="153" t="s">
        <v>56</v>
      </c>
      <c r="C23" s="136">
        <v>31</v>
      </c>
      <c r="D23" s="137">
        <f t="shared" si="1"/>
        <v>154</v>
      </c>
      <c r="E23" s="137">
        <f t="shared" si="9"/>
        <v>365</v>
      </c>
      <c r="F23" s="132">
        <f t="shared" si="4"/>
        <v>0.42191780821917807</v>
      </c>
      <c r="G23" s="155">
        <v>0</v>
      </c>
      <c r="H23" s="154">
        <f t="shared" si="2"/>
        <v>0</v>
      </c>
      <c r="I23" s="154">
        <f t="shared" si="12"/>
        <v>0</v>
      </c>
      <c r="J23" s="156"/>
      <c r="K23" s="160" t="e">
        <f t="shared" si="5"/>
        <v>#DIV/0!</v>
      </c>
      <c r="L23" s="158" t="e">
        <f t="shared" si="10"/>
        <v>#DIV/0!</v>
      </c>
      <c r="M23" s="159" t="e">
        <f t="shared" si="6"/>
        <v>#DIV/0!</v>
      </c>
      <c r="N23" s="159" t="e">
        <f t="shared" si="7"/>
        <v>#DIV/0!</v>
      </c>
      <c r="O23" s="159" t="e">
        <f t="shared" si="8"/>
        <v>#DIV/0!</v>
      </c>
      <c r="P23" s="159" t="e">
        <f t="shared" si="11"/>
        <v>#DIV/0!</v>
      </c>
    </row>
    <row r="24" spans="1:16" ht="15.75">
      <c r="A24" s="145">
        <f t="shared" si="0"/>
        <v>9</v>
      </c>
      <c r="B24" s="153" t="s">
        <v>127</v>
      </c>
      <c r="C24" s="136">
        <v>31</v>
      </c>
      <c r="D24" s="137">
        <f t="shared" si="1"/>
        <v>123</v>
      </c>
      <c r="E24" s="137">
        <f t="shared" si="9"/>
        <v>365</v>
      </c>
      <c r="F24" s="132">
        <f t="shared" si="4"/>
        <v>0.33698630136986302</v>
      </c>
      <c r="G24" s="155">
        <v>0</v>
      </c>
      <c r="H24" s="154">
        <f t="shared" si="2"/>
        <v>0</v>
      </c>
      <c r="I24" s="154">
        <f t="shared" si="12"/>
        <v>0</v>
      </c>
      <c r="J24" s="156"/>
      <c r="K24" s="160" t="e">
        <f t="shared" si="5"/>
        <v>#DIV/0!</v>
      </c>
      <c r="L24" s="158" t="e">
        <f t="shared" si="10"/>
        <v>#DIV/0!</v>
      </c>
      <c r="M24" s="159" t="e">
        <f t="shared" si="6"/>
        <v>#DIV/0!</v>
      </c>
      <c r="N24" s="159" t="e">
        <f t="shared" si="7"/>
        <v>#DIV/0!</v>
      </c>
      <c r="O24" s="159" t="e">
        <f t="shared" si="8"/>
        <v>#DIV/0!</v>
      </c>
      <c r="P24" s="159" t="e">
        <f t="shared" si="11"/>
        <v>#DIV/0!</v>
      </c>
    </row>
    <row r="25" spans="1:16" ht="15.75">
      <c r="A25" s="145">
        <f t="shared" si="0"/>
        <v>10</v>
      </c>
      <c r="B25" s="153" t="s">
        <v>58</v>
      </c>
      <c r="C25" s="136">
        <v>30</v>
      </c>
      <c r="D25" s="137">
        <f t="shared" si="1"/>
        <v>93</v>
      </c>
      <c r="E25" s="137">
        <f t="shared" si="9"/>
        <v>365</v>
      </c>
      <c r="F25" s="132">
        <f t="shared" si="4"/>
        <v>0.25479452054794521</v>
      </c>
      <c r="G25" s="155">
        <v>0</v>
      </c>
      <c r="H25" s="154">
        <f t="shared" si="2"/>
        <v>0</v>
      </c>
      <c r="I25" s="154">
        <f t="shared" si="12"/>
        <v>0</v>
      </c>
      <c r="J25" s="156"/>
      <c r="K25" s="160" t="e">
        <f t="shared" si="5"/>
        <v>#DIV/0!</v>
      </c>
      <c r="L25" s="158" t="e">
        <f t="shared" si="10"/>
        <v>#DIV/0!</v>
      </c>
      <c r="M25" s="159" t="e">
        <f t="shared" si="6"/>
        <v>#DIV/0!</v>
      </c>
      <c r="N25" s="159" t="e">
        <f t="shared" si="7"/>
        <v>#DIV/0!</v>
      </c>
      <c r="O25" s="159" t="e">
        <f t="shared" si="8"/>
        <v>#DIV/0!</v>
      </c>
      <c r="P25" s="159" t="e">
        <f t="shared" si="11"/>
        <v>#DIV/0!</v>
      </c>
    </row>
    <row r="26" spans="1:16" ht="15.75">
      <c r="A26" s="145">
        <f t="shared" si="0"/>
        <v>11</v>
      </c>
      <c r="B26" s="153" t="s">
        <v>59</v>
      </c>
      <c r="C26" s="136">
        <v>31</v>
      </c>
      <c r="D26" s="137">
        <f t="shared" si="1"/>
        <v>62</v>
      </c>
      <c r="E26" s="137">
        <f t="shared" si="9"/>
        <v>365</v>
      </c>
      <c r="F26" s="132">
        <f t="shared" si="4"/>
        <v>0.16986301369863013</v>
      </c>
      <c r="G26" s="155">
        <v>0</v>
      </c>
      <c r="H26" s="154">
        <f t="shared" si="2"/>
        <v>0</v>
      </c>
      <c r="I26" s="154">
        <f t="shared" si="12"/>
        <v>0</v>
      </c>
      <c r="J26" s="156"/>
      <c r="K26" s="160" t="e">
        <f t="shared" si="5"/>
        <v>#DIV/0!</v>
      </c>
      <c r="L26" s="158" t="e">
        <f t="shared" si="10"/>
        <v>#DIV/0!</v>
      </c>
      <c r="M26" s="159" t="e">
        <f t="shared" si="6"/>
        <v>#DIV/0!</v>
      </c>
      <c r="N26" s="159" t="e">
        <f t="shared" si="7"/>
        <v>#DIV/0!</v>
      </c>
      <c r="O26" s="159" t="e">
        <f t="shared" si="8"/>
        <v>#DIV/0!</v>
      </c>
      <c r="P26" s="159" t="e">
        <f t="shared" si="11"/>
        <v>#DIV/0!</v>
      </c>
    </row>
    <row r="27" spans="1:16" ht="15.75">
      <c r="A27" s="145">
        <f t="shared" si="0"/>
        <v>12</v>
      </c>
      <c r="B27" s="153" t="s">
        <v>60</v>
      </c>
      <c r="C27" s="136">
        <v>30</v>
      </c>
      <c r="D27" s="137">
        <f t="shared" si="1"/>
        <v>32</v>
      </c>
      <c r="E27" s="137">
        <f t="shared" si="9"/>
        <v>365</v>
      </c>
      <c r="F27" s="132">
        <f t="shared" si="4"/>
        <v>8.7671232876712329E-2</v>
      </c>
      <c r="G27" s="155">
        <v>0</v>
      </c>
      <c r="H27" s="154">
        <f t="shared" si="2"/>
        <v>0</v>
      </c>
      <c r="I27" s="154">
        <f t="shared" si="12"/>
        <v>0</v>
      </c>
      <c r="J27" s="156"/>
      <c r="K27" s="160" t="e">
        <f t="shared" si="5"/>
        <v>#DIV/0!</v>
      </c>
      <c r="L27" s="158" t="e">
        <f t="shared" si="10"/>
        <v>#DIV/0!</v>
      </c>
      <c r="M27" s="159" t="e">
        <f t="shared" si="6"/>
        <v>#DIV/0!</v>
      </c>
      <c r="N27" s="159" t="e">
        <f t="shared" si="7"/>
        <v>#DIV/0!</v>
      </c>
      <c r="O27" s="159" t="e">
        <f t="shared" si="8"/>
        <v>#DIV/0!</v>
      </c>
      <c r="P27" s="159" t="e">
        <f t="shared" si="11"/>
        <v>#DIV/0!</v>
      </c>
    </row>
    <row r="28" spans="1:16" ht="15.75">
      <c r="A28" s="145">
        <f t="shared" si="0"/>
        <v>13</v>
      </c>
      <c r="B28" s="153" t="s">
        <v>128</v>
      </c>
      <c r="C28" s="136">
        <v>31</v>
      </c>
      <c r="D28" s="137">
        <v>1</v>
      </c>
      <c r="E28" s="137">
        <f t="shared" si="9"/>
        <v>365</v>
      </c>
      <c r="F28" s="132">
        <f t="shared" si="4"/>
        <v>2.7397260273972603E-3</v>
      </c>
      <c r="G28" s="155">
        <v>0</v>
      </c>
      <c r="H28" s="154">
        <f t="shared" si="2"/>
        <v>0</v>
      </c>
      <c r="I28" s="154">
        <f t="shared" si="12"/>
        <v>0</v>
      </c>
      <c r="J28" s="156"/>
      <c r="K28" s="160" t="e">
        <f t="shared" si="5"/>
        <v>#DIV/0!</v>
      </c>
      <c r="L28" s="158" t="e">
        <f t="shared" si="10"/>
        <v>#DIV/0!</v>
      </c>
      <c r="M28" s="159" t="e">
        <f t="shared" si="6"/>
        <v>#DIV/0!</v>
      </c>
      <c r="N28" s="159" t="e">
        <f t="shared" si="7"/>
        <v>#DIV/0!</v>
      </c>
      <c r="O28" s="159" t="e">
        <f t="shared" si="8"/>
        <v>#DIV/0!</v>
      </c>
      <c r="P28" s="159" t="e">
        <f t="shared" si="11"/>
        <v>#DIV/0!</v>
      </c>
    </row>
    <row r="29" spans="1:16" ht="15.75">
      <c r="A29" s="145">
        <f t="shared" si="0"/>
        <v>14</v>
      </c>
      <c r="B29" s="161" t="s">
        <v>9</v>
      </c>
      <c r="C29" s="162">
        <f>SUM(C17:C28)</f>
        <v>365</v>
      </c>
      <c r="D29" s="161"/>
      <c r="E29" s="161"/>
      <c r="F29" s="163"/>
      <c r="G29" s="164">
        <f>SUM(G17:G28)</f>
        <v>0</v>
      </c>
      <c r="H29" s="164">
        <f>SUM(H17:H28)</f>
        <v>0</v>
      </c>
      <c r="I29" s="165"/>
      <c r="J29" s="156"/>
      <c r="K29" s="164" t="e">
        <f>SUM(K17:K28)</f>
        <v>#DIV/0!</v>
      </c>
      <c r="L29" s="164" t="e">
        <f t="shared" ref="L29:O29" si="13">SUM(L17:L28)</f>
        <v>#DIV/0!</v>
      </c>
      <c r="M29" s="166" t="e">
        <f t="shared" si="13"/>
        <v>#DIV/0!</v>
      </c>
      <c r="N29" s="166" t="e">
        <f t="shared" si="13"/>
        <v>#DIV/0!</v>
      </c>
      <c r="O29" s="166" t="e">
        <f t="shared" si="13"/>
        <v>#DIV/0!</v>
      </c>
      <c r="P29" s="167"/>
    </row>
    <row r="33" spans="1:13" ht="48.75" customHeight="1">
      <c r="A33" s="64"/>
      <c r="B33" s="64"/>
      <c r="C33" s="174" t="s">
        <v>490</v>
      </c>
      <c r="D33" s="168"/>
      <c r="E33" s="168" t="s">
        <v>204</v>
      </c>
      <c r="F33" s="174" t="s">
        <v>441</v>
      </c>
      <c r="G33" s="174" t="s">
        <v>525</v>
      </c>
      <c r="H33" s="128" t="s">
        <v>208</v>
      </c>
      <c r="I33" s="174" t="s">
        <v>443</v>
      </c>
      <c r="J33" s="64"/>
      <c r="K33" s="174" t="s">
        <v>526</v>
      </c>
      <c r="L33" s="64"/>
      <c r="M33" s="174" t="s">
        <v>527</v>
      </c>
    </row>
    <row r="34" spans="1:13" ht="15.75">
      <c r="A34" s="64"/>
      <c r="B34" s="64" t="s">
        <v>221</v>
      </c>
      <c r="C34" s="64"/>
      <c r="D34" s="64"/>
      <c r="E34" s="64"/>
      <c r="F34" s="64"/>
      <c r="G34" s="64"/>
      <c r="H34" s="64"/>
      <c r="I34" s="64"/>
      <c r="J34" s="64"/>
      <c r="K34" s="64"/>
      <c r="L34" s="64"/>
      <c r="M34" s="64"/>
    </row>
    <row r="35" spans="1:13" ht="15.75">
      <c r="A35" s="64">
        <f>+A29+1</f>
        <v>15</v>
      </c>
      <c r="B35" s="64" t="s">
        <v>124</v>
      </c>
      <c r="C35" s="170">
        <v>0</v>
      </c>
      <c r="D35" s="171"/>
      <c r="E35" s="170">
        <v>0</v>
      </c>
      <c r="F35" s="176" t="e">
        <f>+'Appendix A'!$G$20</f>
        <v>#DIV/0!</v>
      </c>
      <c r="G35" s="171" t="e">
        <f t="shared" ref="G35:G46" si="14">+E35*F35</f>
        <v>#DIV/0!</v>
      </c>
      <c r="H35" s="170">
        <v>0</v>
      </c>
      <c r="I35" s="176" t="e">
        <f>+'Appendix A'!$D$156</f>
        <v>#DIV/0!</v>
      </c>
      <c r="J35" s="64"/>
      <c r="K35" s="171" t="e">
        <f>+H35*I35</f>
        <v>#DIV/0!</v>
      </c>
      <c r="L35" s="171"/>
      <c r="M35" s="171" t="e">
        <f t="shared" ref="M35:M46" si="15">+C35+G35+K35</f>
        <v>#DIV/0!</v>
      </c>
    </row>
    <row r="36" spans="1:13" ht="15.75">
      <c r="A36" s="64">
        <f>+A35+1</f>
        <v>16</v>
      </c>
      <c r="B36" s="64" t="s">
        <v>52</v>
      </c>
      <c r="C36" s="170">
        <v>0</v>
      </c>
      <c r="D36" s="171"/>
      <c r="E36" s="170">
        <v>0</v>
      </c>
      <c r="F36" s="176" t="e">
        <f>+'Appendix A'!$G$20</f>
        <v>#DIV/0!</v>
      </c>
      <c r="G36" s="171" t="e">
        <f t="shared" si="14"/>
        <v>#DIV/0!</v>
      </c>
      <c r="H36" s="170">
        <v>0</v>
      </c>
      <c r="I36" s="176" t="e">
        <f>+'Appendix A'!$D$156</f>
        <v>#DIV/0!</v>
      </c>
      <c r="J36" s="64"/>
      <c r="K36" s="171" t="e">
        <f t="shared" ref="K36:K46" si="16">+H36*I36</f>
        <v>#DIV/0!</v>
      </c>
      <c r="L36" s="171"/>
      <c r="M36" s="171" t="e">
        <f t="shared" si="15"/>
        <v>#DIV/0!</v>
      </c>
    </row>
    <row r="37" spans="1:13" ht="15.75">
      <c r="A37" s="64">
        <f t="shared" ref="A37:A46" si="17">+A36+1</f>
        <v>17</v>
      </c>
      <c r="B37" s="64" t="s">
        <v>125</v>
      </c>
      <c r="C37" s="170">
        <v>0</v>
      </c>
      <c r="D37" s="171"/>
      <c r="E37" s="170">
        <v>0</v>
      </c>
      <c r="F37" s="176" t="e">
        <f>+'Appendix A'!$G$20</f>
        <v>#DIV/0!</v>
      </c>
      <c r="G37" s="171" t="e">
        <f t="shared" si="14"/>
        <v>#DIV/0!</v>
      </c>
      <c r="H37" s="170">
        <v>0</v>
      </c>
      <c r="I37" s="176" t="e">
        <f>+'Appendix A'!$D$156</f>
        <v>#DIV/0!</v>
      </c>
      <c r="J37" s="64"/>
      <c r="K37" s="171" t="e">
        <f t="shared" si="16"/>
        <v>#DIV/0!</v>
      </c>
      <c r="L37" s="171"/>
      <c r="M37" s="171" t="e">
        <f t="shared" si="15"/>
        <v>#DIV/0!</v>
      </c>
    </row>
    <row r="38" spans="1:13" ht="15.75">
      <c r="A38" s="64">
        <f t="shared" si="17"/>
        <v>18</v>
      </c>
      <c r="B38" s="64" t="s">
        <v>54</v>
      </c>
      <c r="C38" s="170">
        <v>0</v>
      </c>
      <c r="D38" s="171"/>
      <c r="E38" s="170">
        <v>0</v>
      </c>
      <c r="F38" s="176" t="e">
        <f>+'Appendix A'!$G$20</f>
        <v>#DIV/0!</v>
      </c>
      <c r="G38" s="171" t="e">
        <f t="shared" si="14"/>
        <v>#DIV/0!</v>
      </c>
      <c r="H38" s="170">
        <v>0</v>
      </c>
      <c r="I38" s="176" t="e">
        <f>+'Appendix A'!$D$156</f>
        <v>#DIV/0!</v>
      </c>
      <c r="J38" s="64"/>
      <c r="K38" s="171" t="e">
        <f t="shared" si="16"/>
        <v>#DIV/0!</v>
      </c>
      <c r="L38" s="171"/>
      <c r="M38" s="171" t="e">
        <f t="shared" si="15"/>
        <v>#DIV/0!</v>
      </c>
    </row>
    <row r="39" spans="1:13" ht="15.75">
      <c r="A39" s="64">
        <f t="shared" si="17"/>
        <v>19</v>
      </c>
      <c r="B39" s="64" t="s">
        <v>51</v>
      </c>
      <c r="C39" s="170">
        <v>0</v>
      </c>
      <c r="D39" s="171"/>
      <c r="E39" s="170">
        <v>0</v>
      </c>
      <c r="F39" s="176" t="e">
        <f>+'Appendix A'!$G$20</f>
        <v>#DIV/0!</v>
      </c>
      <c r="G39" s="171" t="e">
        <f t="shared" si="14"/>
        <v>#DIV/0!</v>
      </c>
      <c r="H39" s="170">
        <v>0</v>
      </c>
      <c r="I39" s="176" t="e">
        <f>+'Appendix A'!$D$156</f>
        <v>#DIV/0!</v>
      </c>
      <c r="J39" s="64"/>
      <c r="K39" s="171" t="e">
        <f t="shared" si="16"/>
        <v>#DIV/0!</v>
      </c>
      <c r="L39" s="171"/>
      <c r="M39" s="171" t="e">
        <f t="shared" si="15"/>
        <v>#DIV/0!</v>
      </c>
    </row>
    <row r="40" spans="1:13" ht="15.75">
      <c r="A40" s="64">
        <f t="shared" si="17"/>
        <v>20</v>
      </c>
      <c r="B40" s="64" t="s">
        <v>55</v>
      </c>
      <c r="C40" s="170">
        <v>0</v>
      </c>
      <c r="D40" s="171"/>
      <c r="E40" s="170">
        <v>0</v>
      </c>
      <c r="F40" s="176" t="e">
        <f>+'Appendix A'!$G$20</f>
        <v>#DIV/0!</v>
      </c>
      <c r="G40" s="171" t="e">
        <f t="shared" si="14"/>
        <v>#DIV/0!</v>
      </c>
      <c r="H40" s="170">
        <v>0</v>
      </c>
      <c r="I40" s="176" t="e">
        <f>+'Appendix A'!$D$156</f>
        <v>#DIV/0!</v>
      </c>
      <c r="J40" s="64"/>
      <c r="K40" s="171" t="e">
        <f t="shared" si="16"/>
        <v>#DIV/0!</v>
      </c>
      <c r="L40" s="171"/>
      <c r="M40" s="171" t="e">
        <f t="shared" si="15"/>
        <v>#DIV/0!</v>
      </c>
    </row>
    <row r="41" spans="1:13" ht="15.75">
      <c r="A41" s="64">
        <f t="shared" si="17"/>
        <v>21</v>
      </c>
      <c r="B41" s="64" t="s">
        <v>56</v>
      </c>
      <c r="C41" s="170">
        <v>0</v>
      </c>
      <c r="D41" s="171"/>
      <c r="E41" s="170">
        <v>0</v>
      </c>
      <c r="F41" s="176" t="e">
        <f>+'Appendix A'!$G$20</f>
        <v>#DIV/0!</v>
      </c>
      <c r="G41" s="171" t="e">
        <f t="shared" si="14"/>
        <v>#DIV/0!</v>
      </c>
      <c r="H41" s="170">
        <v>0</v>
      </c>
      <c r="I41" s="176" t="e">
        <f>+'Appendix A'!$D$156</f>
        <v>#DIV/0!</v>
      </c>
      <c r="J41" s="64"/>
      <c r="K41" s="171" t="e">
        <f t="shared" si="16"/>
        <v>#DIV/0!</v>
      </c>
      <c r="L41" s="171"/>
      <c r="M41" s="171" t="e">
        <f t="shared" si="15"/>
        <v>#DIV/0!</v>
      </c>
    </row>
    <row r="42" spans="1:13" ht="15.75">
      <c r="A42" s="64">
        <f t="shared" si="17"/>
        <v>22</v>
      </c>
      <c r="B42" s="64" t="s">
        <v>127</v>
      </c>
      <c r="C42" s="170">
        <v>0</v>
      </c>
      <c r="D42" s="171"/>
      <c r="E42" s="170">
        <v>0</v>
      </c>
      <c r="F42" s="176" t="e">
        <f>+'Appendix A'!$G$20</f>
        <v>#DIV/0!</v>
      </c>
      <c r="G42" s="171" t="e">
        <f t="shared" si="14"/>
        <v>#DIV/0!</v>
      </c>
      <c r="H42" s="170">
        <v>0</v>
      </c>
      <c r="I42" s="176" t="e">
        <f>+'Appendix A'!$D$156</f>
        <v>#DIV/0!</v>
      </c>
      <c r="J42" s="64"/>
      <c r="K42" s="171" t="e">
        <f t="shared" si="16"/>
        <v>#DIV/0!</v>
      </c>
      <c r="L42" s="171"/>
      <c r="M42" s="171" t="e">
        <f t="shared" si="15"/>
        <v>#DIV/0!</v>
      </c>
    </row>
    <row r="43" spans="1:13" ht="15.75">
      <c r="A43" s="64">
        <f t="shared" si="17"/>
        <v>23</v>
      </c>
      <c r="B43" s="64" t="s">
        <v>58</v>
      </c>
      <c r="C43" s="170">
        <v>0</v>
      </c>
      <c r="D43" s="171"/>
      <c r="E43" s="170">
        <v>0</v>
      </c>
      <c r="F43" s="176" t="e">
        <f>+'Appendix A'!$G$20</f>
        <v>#DIV/0!</v>
      </c>
      <c r="G43" s="171" t="e">
        <f t="shared" si="14"/>
        <v>#DIV/0!</v>
      </c>
      <c r="H43" s="170">
        <v>0</v>
      </c>
      <c r="I43" s="176" t="e">
        <f>+'Appendix A'!$D$156</f>
        <v>#DIV/0!</v>
      </c>
      <c r="J43" s="64"/>
      <c r="K43" s="171" t="e">
        <f t="shared" si="16"/>
        <v>#DIV/0!</v>
      </c>
      <c r="L43" s="171"/>
      <c r="M43" s="171" t="e">
        <f t="shared" si="15"/>
        <v>#DIV/0!</v>
      </c>
    </row>
    <row r="44" spans="1:13" ht="15.75">
      <c r="A44" s="64">
        <f t="shared" si="17"/>
        <v>24</v>
      </c>
      <c r="B44" s="64" t="s">
        <v>59</v>
      </c>
      <c r="C44" s="170">
        <v>0</v>
      </c>
      <c r="D44" s="171"/>
      <c r="E44" s="170">
        <v>0</v>
      </c>
      <c r="F44" s="176" t="e">
        <f>+'Appendix A'!$G$20</f>
        <v>#DIV/0!</v>
      </c>
      <c r="G44" s="171" t="e">
        <f t="shared" si="14"/>
        <v>#DIV/0!</v>
      </c>
      <c r="H44" s="170">
        <v>0</v>
      </c>
      <c r="I44" s="176" t="e">
        <f>+'Appendix A'!$D$156</f>
        <v>#DIV/0!</v>
      </c>
      <c r="J44" s="64"/>
      <c r="K44" s="171" t="e">
        <f t="shared" si="16"/>
        <v>#DIV/0!</v>
      </c>
      <c r="L44" s="171"/>
      <c r="M44" s="171" t="e">
        <f t="shared" si="15"/>
        <v>#DIV/0!</v>
      </c>
    </row>
    <row r="45" spans="1:13" ht="15.75">
      <c r="A45" s="64">
        <f t="shared" si="17"/>
        <v>25</v>
      </c>
      <c r="B45" s="64" t="s">
        <v>60</v>
      </c>
      <c r="C45" s="170">
        <v>0</v>
      </c>
      <c r="D45" s="171"/>
      <c r="E45" s="170">
        <v>0</v>
      </c>
      <c r="F45" s="176" t="e">
        <f>+'Appendix A'!$G$20</f>
        <v>#DIV/0!</v>
      </c>
      <c r="G45" s="171" t="e">
        <f t="shared" si="14"/>
        <v>#DIV/0!</v>
      </c>
      <c r="H45" s="170">
        <v>0</v>
      </c>
      <c r="I45" s="176" t="e">
        <f>+'Appendix A'!$D$156</f>
        <v>#DIV/0!</v>
      </c>
      <c r="J45" s="64"/>
      <c r="K45" s="171" t="e">
        <f t="shared" si="16"/>
        <v>#DIV/0!</v>
      </c>
      <c r="L45" s="171"/>
      <c r="M45" s="171" t="e">
        <f t="shared" si="15"/>
        <v>#DIV/0!</v>
      </c>
    </row>
    <row r="46" spans="1:13" ht="15.75">
      <c r="A46" s="64">
        <f t="shared" si="17"/>
        <v>26</v>
      </c>
      <c r="B46" s="64" t="s">
        <v>128</v>
      </c>
      <c r="C46" s="170">
        <v>0</v>
      </c>
      <c r="D46" s="171"/>
      <c r="E46" s="170">
        <v>0</v>
      </c>
      <c r="F46" s="176" t="e">
        <f>+'Appendix A'!$G$20</f>
        <v>#DIV/0!</v>
      </c>
      <c r="G46" s="171" t="e">
        <f t="shared" si="14"/>
        <v>#DIV/0!</v>
      </c>
      <c r="H46" s="170">
        <v>0</v>
      </c>
      <c r="I46" s="176" t="e">
        <f>+'Appendix A'!$D$156</f>
        <v>#DIV/0!</v>
      </c>
      <c r="J46" s="64"/>
      <c r="K46" s="171" t="e">
        <f t="shared" si="16"/>
        <v>#DIV/0!</v>
      </c>
      <c r="L46" s="171"/>
      <c r="M46" s="171" t="e">
        <f t="shared" si="15"/>
        <v>#DIV/0!</v>
      </c>
    </row>
    <row r="49" spans="2:2" ht="15.75">
      <c r="B49" s="64" t="s">
        <v>214</v>
      </c>
    </row>
    <row r="50" spans="2:2" ht="15.75">
      <c r="B50" s="64" t="s">
        <v>223</v>
      </c>
    </row>
    <row r="51" spans="2:2" ht="15.75">
      <c r="B51" s="64" t="s">
        <v>224</v>
      </c>
    </row>
    <row r="52" spans="2:2" ht="15.75">
      <c r="B52" s="64" t="s">
        <v>225</v>
      </c>
    </row>
    <row r="53" spans="2:2" ht="15.75">
      <c r="B53" s="64" t="s">
        <v>226</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G61" sqref="G61"/>
    </sheetView>
  </sheetViews>
  <sheetFormatPr defaultRowHeight="15"/>
  <cols>
    <col min="1" max="1" width="5.140625" customWidth="1"/>
    <col min="2" max="2" width="42.85546875" customWidth="1"/>
    <col min="3" max="3" width="19.85546875" customWidth="1"/>
    <col min="4" max="4" width="18" customWidth="1"/>
    <col min="5" max="5" width="16.42578125" customWidth="1"/>
    <col min="6" max="6" width="19.7109375" customWidth="1"/>
    <col min="7" max="7" width="14.42578125" customWidth="1"/>
    <col min="8" max="8" width="16.42578125" customWidth="1"/>
    <col min="9" max="9" width="15.42578125" customWidth="1"/>
    <col min="10" max="10" width="15.5703125" customWidth="1"/>
    <col min="11" max="11" width="13.140625" customWidth="1"/>
    <col min="12" max="12" width="16" customWidth="1"/>
    <col min="13" max="13" width="14.85546875" customWidth="1"/>
    <col min="14" max="14" width="16.7109375" customWidth="1"/>
    <col min="15" max="15" width="14.85546875" customWidth="1"/>
  </cols>
  <sheetData>
    <row r="2" spans="1:18" ht="20.25">
      <c r="I2" s="195"/>
    </row>
    <row r="3" spans="1:18" ht="18">
      <c r="B3" s="664" t="s">
        <v>576</v>
      </c>
      <c r="C3" s="664"/>
      <c r="D3" s="664"/>
      <c r="E3" s="664"/>
      <c r="F3" s="664"/>
      <c r="G3" s="664"/>
      <c r="H3" s="664"/>
      <c r="I3" s="664"/>
      <c r="J3" s="664"/>
      <c r="K3" s="664"/>
      <c r="L3" s="664"/>
      <c r="M3" s="664"/>
      <c r="N3" s="664"/>
      <c r="O3" s="664"/>
    </row>
    <row r="4" spans="1:18" ht="18">
      <c r="B4" s="662" t="s">
        <v>545</v>
      </c>
      <c r="C4" s="662"/>
      <c r="D4" s="662"/>
      <c r="E4" s="662"/>
      <c r="F4" s="662"/>
      <c r="G4" s="662"/>
      <c r="H4" s="662"/>
      <c r="I4" s="662"/>
      <c r="J4" s="662"/>
      <c r="K4" s="662"/>
      <c r="L4" s="662"/>
      <c r="M4" s="662"/>
      <c r="N4" s="662"/>
      <c r="O4" s="662"/>
    </row>
    <row r="5" spans="1:18" ht="18">
      <c r="B5" s="664" t="s">
        <v>254</v>
      </c>
      <c r="C5" s="664"/>
      <c r="D5" s="664"/>
      <c r="E5" s="664"/>
      <c r="F5" s="664"/>
      <c r="G5" s="664"/>
      <c r="H5" s="664"/>
      <c r="I5" s="664"/>
      <c r="J5" s="664"/>
      <c r="K5" s="664"/>
      <c r="L5" s="664"/>
      <c r="M5" s="664"/>
      <c r="N5" s="664"/>
      <c r="O5" s="664"/>
    </row>
    <row r="6" spans="1:18" ht="18">
      <c r="B6" s="666" t="str">
        <f>+'Appendix A'!H3</f>
        <v>Projected ATRR or Actual ATRR for the 12 Months Ended 12/31/XXXX</v>
      </c>
      <c r="C6" s="666"/>
      <c r="D6" s="666"/>
      <c r="E6" s="666"/>
      <c r="F6" s="666"/>
      <c r="G6" s="666"/>
      <c r="H6" s="666"/>
      <c r="I6" s="666"/>
      <c r="J6" s="666"/>
      <c r="K6" s="666"/>
      <c r="L6" s="666"/>
      <c r="M6" s="666"/>
      <c r="N6" s="666"/>
      <c r="O6" s="666"/>
    </row>
    <row r="8" spans="1:18" ht="20.25">
      <c r="A8" s="69" t="s">
        <v>215</v>
      </c>
      <c r="I8" s="195"/>
    </row>
    <row r="9" spans="1:18" ht="15.75">
      <c r="A9" s="124"/>
      <c r="B9" s="122" t="s">
        <v>68</v>
      </c>
      <c r="C9" s="122" t="s">
        <v>69</v>
      </c>
      <c r="D9" s="122" t="s">
        <v>70</v>
      </c>
      <c r="E9" s="122" t="s">
        <v>71</v>
      </c>
      <c r="F9" s="122" t="s">
        <v>72</v>
      </c>
      <c r="G9" s="122" t="s">
        <v>73</v>
      </c>
      <c r="H9" s="122" t="s">
        <v>74</v>
      </c>
      <c r="I9" s="122" t="s">
        <v>75</v>
      </c>
      <c r="J9" s="309" t="s">
        <v>92</v>
      </c>
      <c r="K9" s="309" t="s">
        <v>93</v>
      </c>
      <c r="L9" s="309" t="s">
        <v>97</v>
      </c>
      <c r="M9" s="309" t="s">
        <v>120</v>
      </c>
      <c r="N9" s="309" t="s">
        <v>193</v>
      </c>
      <c r="O9" s="309" t="s">
        <v>194</v>
      </c>
    </row>
    <row r="10" spans="1:18" ht="90.75">
      <c r="A10" s="168" t="s">
        <v>6</v>
      </c>
      <c r="B10" s="168" t="s">
        <v>230</v>
      </c>
      <c r="C10" s="174" t="s">
        <v>231</v>
      </c>
      <c r="D10" s="174" t="s">
        <v>344</v>
      </c>
      <c r="E10" s="222" t="s">
        <v>398</v>
      </c>
      <c r="F10" s="174" t="s">
        <v>232</v>
      </c>
      <c r="G10" s="174" t="s">
        <v>233</v>
      </c>
      <c r="H10" s="174" t="s">
        <v>557</v>
      </c>
      <c r="I10" s="174" t="s">
        <v>397</v>
      </c>
      <c r="J10" s="174" t="s">
        <v>234</v>
      </c>
      <c r="K10" s="222" t="s">
        <v>256</v>
      </c>
      <c r="L10" s="222" t="s">
        <v>255</v>
      </c>
      <c r="M10" s="222" t="s">
        <v>256</v>
      </c>
      <c r="N10" s="222" t="s">
        <v>255</v>
      </c>
      <c r="O10" s="222"/>
      <c r="R10" t="s">
        <v>499</v>
      </c>
    </row>
    <row r="11" spans="1:18" ht="30.75">
      <c r="A11" s="168"/>
      <c r="B11" s="168"/>
      <c r="C11" s="175"/>
      <c r="D11" s="175" t="str">
        <f>"Column "&amp;C9&amp;" * Line "&amp;A76&amp;""</f>
        <v>Column (b) * Line 43</v>
      </c>
      <c r="E11" s="175" t="str">
        <f>"Column "&amp;C9&amp;" - Column "&amp;D9&amp;""</f>
        <v>Column (b) - Column (c)</v>
      </c>
      <c r="F11" s="175"/>
      <c r="G11" s="175" t="str">
        <f>"Column "&amp;E9&amp;" + Column "&amp;F9&amp;""</f>
        <v>Column (d) + Column (e)</v>
      </c>
      <c r="H11" s="175"/>
      <c r="I11" s="175" t="str">
        <f>"Column "&amp;G9&amp;" * Column "&amp;H9&amp;""</f>
        <v>Column (f) * Column (g)</v>
      </c>
      <c r="J11" s="175"/>
      <c r="K11" s="175"/>
      <c r="L11" s="175" t="str">
        <f>"Column "&amp;I9&amp;" - Column "&amp;K9&amp;""</f>
        <v>Column (h) - Column (j)</v>
      </c>
      <c r="M11" s="175"/>
      <c r="N11" s="175" t="str">
        <f>"Column "&amp;L9&amp;" - Column "&amp;M9&amp;""</f>
        <v>Column (k) - Column (l)</v>
      </c>
      <c r="O11" s="175"/>
    </row>
    <row r="12" spans="1:18" ht="31.5">
      <c r="A12" s="64"/>
      <c r="B12" s="120" t="s">
        <v>235</v>
      </c>
      <c r="C12" s="76"/>
      <c r="D12" s="76"/>
      <c r="E12" s="175"/>
      <c r="F12" s="175"/>
      <c r="G12" s="175"/>
      <c r="H12" s="175"/>
      <c r="I12" s="175"/>
      <c r="J12" s="175"/>
      <c r="K12" s="175"/>
      <c r="L12" s="175"/>
      <c r="M12" s="175"/>
      <c r="N12" s="175"/>
      <c r="O12" s="175"/>
    </row>
    <row r="13" spans="1:18" ht="15.75">
      <c r="A13" s="64"/>
      <c r="B13" s="64" t="s">
        <v>236</v>
      </c>
      <c r="C13" s="64"/>
      <c r="D13" s="64"/>
      <c r="E13" s="175"/>
      <c r="F13" s="175"/>
      <c r="G13" s="175"/>
      <c r="H13" s="175"/>
      <c r="I13" s="175"/>
      <c r="J13" s="175"/>
      <c r="K13" s="175"/>
      <c r="L13" s="175"/>
      <c r="M13" s="175"/>
      <c r="N13" s="175"/>
      <c r="O13" s="175"/>
    </row>
    <row r="14" spans="1:18" ht="15.75">
      <c r="A14" s="64">
        <v>1</v>
      </c>
      <c r="B14" s="287"/>
      <c r="C14" s="197">
        <v>0</v>
      </c>
      <c r="D14" s="197">
        <f>+C14*$J$76</f>
        <v>0</v>
      </c>
      <c r="E14" s="198">
        <f>+C14-D14</f>
        <v>0</v>
      </c>
      <c r="F14" s="197">
        <v>0</v>
      </c>
      <c r="G14" s="198">
        <f>+E14+F14</f>
        <v>0</v>
      </c>
      <c r="H14" s="199">
        <v>0</v>
      </c>
      <c r="I14" s="198">
        <f>+G14*H14</f>
        <v>0</v>
      </c>
      <c r="J14" s="228"/>
      <c r="K14" s="197">
        <v>0</v>
      </c>
      <c r="L14" s="198">
        <f>+I14-K14</f>
        <v>0</v>
      </c>
      <c r="M14" s="197">
        <v>0</v>
      </c>
      <c r="N14" s="198">
        <f>+L14-M14</f>
        <v>0</v>
      </c>
      <c r="O14" s="197"/>
    </row>
    <row r="15" spans="1:18" ht="15.75">
      <c r="A15" s="64">
        <f>+A14+1</f>
        <v>2</v>
      </c>
      <c r="B15" s="287"/>
      <c r="C15" s="200">
        <v>0</v>
      </c>
      <c r="D15" s="197">
        <f>+C15*$J$76</f>
        <v>0</v>
      </c>
      <c r="E15" s="198">
        <f t="shared" ref="E15:E18" si="0">+C15-D15</f>
        <v>0</v>
      </c>
      <c r="F15" s="200">
        <v>0</v>
      </c>
      <c r="G15" s="198">
        <f t="shared" ref="G15:G18" si="1">+E15+F15</f>
        <v>0</v>
      </c>
      <c r="H15" s="199">
        <v>0</v>
      </c>
      <c r="I15" s="198">
        <f t="shared" ref="I15:I18" si="2">+G15*H15</f>
        <v>0</v>
      </c>
      <c r="J15" s="226"/>
      <c r="K15" s="200">
        <v>0</v>
      </c>
      <c r="L15" s="171">
        <f t="shared" ref="L15:L18" si="3">+I15-K15</f>
        <v>0</v>
      </c>
      <c r="M15" s="197">
        <v>0</v>
      </c>
      <c r="N15" s="171">
        <f t="shared" ref="N15:N18" si="4">+L15-M15</f>
        <v>0</v>
      </c>
      <c r="O15" s="197"/>
    </row>
    <row r="16" spans="1:18" ht="15.75">
      <c r="A16" s="64">
        <f t="shared" ref="A16:A18" si="5">+A15+1</f>
        <v>3</v>
      </c>
      <c r="B16" s="287"/>
      <c r="C16" s="200">
        <v>0</v>
      </c>
      <c r="D16" s="197">
        <f>+C16*$J$76</f>
        <v>0</v>
      </c>
      <c r="E16" s="198">
        <f t="shared" si="0"/>
        <v>0</v>
      </c>
      <c r="F16" s="200">
        <v>0</v>
      </c>
      <c r="G16" s="198">
        <f t="shared" si="1"/>
        <v>0</v>
      </c>
      <c r="H16" s="199">
        <v>0</v>
      </c>
      <c r="I16" s="198">
        <f t="shared" si="2"/>
        <v>0</v>
      </c>
      <c r="J16" s="228"/>
      <c r="K16" s="200">
        <v>0</v>
      </c>
      <c r="L16" s="171">
        <f t="shared" si="3"/>
        <v>0</v>
      </c>
      <c r="M16" s="197">
        <v>0</v>
      </c>
      <c r="N16" s="171">
        <f t="shared" si="4"/>
        <v>0</v>
      </c>
      <c r="O16" s="197"/>
    </row>
    <row r="17" spans="1:15" ht="15.75">
      <c r="A17" s="64">
        <f t="shared" si="5"/>
        <v>4</v>
      </c>
      <c r="B17" s="287"/>
      <c r="C17" s="200">
        <v>0</v>
      </c>
      <c r="D17" s="197">
        <f>+C17*$J$76</f>
        <v>0</v>
      </c>
      <c r="E17" s="198">
        <f t="shared" si="0"/>
        <v>0</v>
      </c>
      <c r="F17" s="200">
        <v>0</v>
      </c>
      <c r="G17" s="198">
        <f t="shared" si="1"/>
        <v>0</v>
      </c>
      <c r="H17" s="199">
        <v>0</v>
      </c>
      <c r="I17" s="198">
        <f t="shared" si="2"/>
        <v>0</v>
      </c>
      <c r="J17" s="226"/>
      <c r="K17" s="200">
        <v>0</v>
      </c>
      <c r="L17" s="171">
        <f t="shared" si="3"/>
        <v>0</v>
      </c>
      <c r="M17" s="197">
        <v>0</v>
      </c>
      <c r="N17" s="171">
        <f t="shared" si="4"/>
        <v>0</v>
      </c>
      <c r="O17" s="197"/>
    </row>
    <row r="18" spans="1:15" ht="15.75">
      <c r="A18" s="64">
        <f t="shared" si="5"/>
        <v>5</v>
      </c>
      <c r="B18" s="287"/>
      <c r="C18" s="203">
        <v>0</v>
      </c>
      <c r="D18" s="215">
        <f>+C18*$J$76</f>
        <v>0</v>
      </c>
      <c r="E18" s="204">
        <f t="shared" si="0"/>
        <v>0</v>
      </c>
      <c r="F18" s="203">
        <v>0</v>
      </c>
      <c r="G18" s="204">
        <f t="shared" si="1"/>
        <v>0</v>
      </c>
      <c r="H18" s="199">
        <v>0</v>
      </c>
      <c r="I18" s="204">
        <f t="shared" si="2"/>
        <v>0</v>
      </c>
      <c r="J18" s="228"/>
      <c r="K18" s="203">
        <v>0</v>
      </c>
      <c r="L18" s="206">
        <f t="shared" si="3"/>
        <v>0</v>
      </c>
      <c r="M18" s="215">
        <v>0</v>
      </c>
      <c r="N18" s="206">
        <f t="shared" si="4"/>
        <v>0</v>
      </c>
      <c r="O18" s="197"/>
    </row>
    <row r="19" spans="1:15" ht="15.75">
      <c r="A19" s="64">
        <f>+A18+1</f>
        <v>6</v>
      </c>
      <c r="B19" s="207" t="s">
        <v>237</v>
      </c>
      <c r="C19" s="208">
        <f>+SUM(C14:C18)</f>
        <v>0</v>
      </c>
      <c r="D19" s="208">
        <f>+SUM(D14:D18)</f>
        <v>0</v>
      </c>
      <c r="E19" s="208">
        <f>+SUM(E14:E18)</f>
        <v>0</v>
      </c>
      <c r="F19" s="208">
        <f>+SUM(F14:F18)</f>
        <v>0</v>
      </c>
      <c r="G19" s="208">
        <f>+SUM(G14:G18)</f>
        <v>0</v>
      </c>
      <c r="H19" s="209"/>
      <c r="I19" s="208">
        <f>+SUM(I14:I18)</f>
        <v>0</v>
      </c>
      <c r="J19" s="208"/>
      <c r="K19" s="208">
        <f>+SUM(K14:K18)</f>
        <v>0</v>
      </c>
      <c r="L19" s="208">
        <f>+SUM(L14:L18)</f>
        <v>0</v>
      </c>
      <c r="M19" s="208">
        <f>+SUM(M14:M18)</f>
        <v>0</v>
      </c>
      <c r="N19" s="208">
        <f>+SUM(N14:N18)</f>
        <v>0</v>
      </c>
      <c r="O19" s="200"/>
    </row>
    <row r="20" spans="1:15" ht="17.25">
      <c r="A20" s="64"/>
      <c r="B20" s="210"/>
      <c r="C20" s="211"/>
      <c r="D20" s="211"/>
      <c r="E20" s="211"/>
      <c r="F20" s="211"/>
      <c r="G20" s="211"/>
      <c r="H20" s="209"/>
      <c r="I20" s="212"/>
      <c r="J20" s="212"/>
      <c r="K20" s="212"/>
      <c r="L20" s="212"/>
      <c r="M20" s="212"/>
      <c r="N20" s="212"/>
      <c r="O20" s="205"/>
    </row>
    <row r="21" spans="1:15" ht="24.75" customHeight="1">
      <c r="A21" s="64"/>
      <c r="B21" s="207" t="s">
        <v>238</v>
      </c>
      <c r="C21" s="211"/>
      <c r="D21" s="211"/>
      <c r="E21" s="211"/>
      <c r="F21" s="211"/>
      <c r="G21" s="211"/>
      <c r="H21" s="209"/>
      <c r="I21" s="212"/>
      <c r="J21" s="212"/>
      <c r="K21" s="212"/>
      <c r="L21" s="212"/>
      <c r="M21" s="212"/>
      <c r="N21" s="212"/>
      <c r="O21" s="205"/>
    </row>
    <row r="22" spans="1:15" ht="15.75">
      <c r="A22" s="64">
        <f>+A19+1</f>
        <v>7</v>
      </c>
      <c r="B22" s="64" t="str">
        <f>+B48</f>
        <v>Depreciation - Liberalized Depreciation</v>
      </c>
      <c r="C22" s="200">
        <v>0</v>
      </c>
      <c r="D22" s="197">
        <v>0</v>
      </c>
      <c r="E22" s="198">
        <f>+C22-D22</f>
        <v>0</v>
      </c>
      <c r="F22" s="200">
        <v>0</v>
      </c>
      <c r="G22" s="198">
        <f>+E22+F22</f>
        <v>0</v>
      </c>
      <c r="H22" s="199">
        <v>0</v>
      </c>
      <c r="I22" s="198">
        <f>+G22*H22</f>
        <v>0</v>
      </c>
      <c r="J22" s="226"/>
      <c r="K22" s="200">
        <v>0</v>
      </c>
      <c r="L22" s="171">
        <f>+I22-K22</f>
        <v>0</v>
      </c>
      <c r="M22" s="170">
        <v>0</v>
      </c>
      <c r="N22" s="171">
        <f>+L22-M22</f>
        <v>0</v>
      </c>
      <c r="O22" s="170"/>
    </row>
    <row r="23" spans="1:15" ht="15.75">
      <c r="A23" s="64">
        <f t="shared" ref="A23:A25" si="6">+A22+1</f>
        <v>8</v>
      </c>
      <c r="B23" s="227"/>
      <c r="C23" s="200">
        <v>0</v>
      </c>
      <c r="D23" s="197">
        <v>0</v>
      </c>
      <c r="E23" s="198">
        <f t="shared" ref="E23:E25" si="7">+C23-D23</f>
        <v>0</v>
      </c>
      <c r="F23" s="200">
        <v>0</v>
      </c>
      <c r="G23" s="198">
        <f t="shared" ref="G23:G24" si="8">+E23+F23</f>
        <v>0</v>
      </c>
      <c r="H23" s="199">
        <v>0</v>
      </c>
      <c r="I23" s="198">
        <f t="shared" ref="I23:I24" si="9">+G23*H23</f>
        <v>0</v>
      </c>
      <c r="J23" s="200"/>
      <c r="K23" s="200">
        <v>0</v>
      </c>
      <c r="L23" s="171">
        <f t="shared" ref="L23:L25" si="10">+I23-K23</f>
        <v>0</v>
      </c>
      <c r="M23" s="170">
        <v>0</v>
      </c>
      <c r="N23" s="171">
        <f t="shared" ref="N23:N24" si="11">+L23-M23</f>
        <v>0</v>
      </c>
      <c r="O23" s="170"/>
    </row>
    <row r="24" spans="1:15" ht="15.75">
      <c r="A24" s="64">
        <f t="shared" si="6"/>
        <v>9</v>
      </c>
      <c r="B24" s="227"/>
      <c r="C24" s="200">
        <v>0</v>
      </c>
      <c r="D24" s="197">
        <v>0</v>
      </c>
      <c r="E24" s="198">
        <f t="shared" si="7"/>
        <v>0</v>
      </c>
      <c r="F24" s="200">
        <v>0</v>
      </c>
      <c r="G24" s="198">
        <f t="shared" si="8"/>
        <v>0</v>
      </c>
      <c r="H24" s="199">
        <v>0</v>
      </c>
      <c r="I24" s="198">
        <f t="shared" si="9"/>
        <v>0</v>
      </c>
      <c r="J24" s="200"/>
      <c r="K24" s="200">
        <v>0</v>
      </c>
      <c r="L24" s="171">
        <f t="shared" si="10"/>
        <v>0</v>
      </c>
      <c r="M24" s="170">
        <v>0</v>
      </c>
      <c r="N24" s="171">
        <f t="shared" si="11"/>
        <v>0</v>
      </c>
      <c r="O24" s="170"/>
    </row>
    <row r="25" spans="1:15" ht="15.75">
      <c r="A25" s="64">
        <f t="shared" si="6"/>
        <v>10</v>
      </c>
      <c r="B25" s="227"/>
      <c r="C25" s="203">
        <v>0</v>
      </c>
      <c r="D25" s="215">
        <f>+C25*$J$76</f>
        <v>0</v>
      </c>
      <c r="E25" s="310">
        <f t="shared" si="7"/>
        <v>0</v>
      </c>
      <c r="F25" s="203">
        <v>0</v>
      </c>
      <c r="G25" s="204">
        <f>+E25-F25</f>
        <v>0</v>
      </c>
      <c r="H25" s="199">
        <v>0</v>
      </c>
      <c r="I25" s="205">
        <v>0</v>
      </c>
      <c r="J25" s="200"/>
      <c r="K25" s="203">
        <v>0</v>
      </c>
      <c r="L25" s="206">
        <f t="shared" si="10"/>
        <v>0</v>
      </c>
      <c r="M25" s="214">
        <v>0</v>
      </c>
      <c r="N25" s="206">
        <f>+K25-M25</f>
        <v>0</v>
      </c>
      <c r="O25" s="214"/>
    </row>
    <row r="26" spans="1:15" ht="15.75">
      <c r="A26" s="64">
        <f>+A25+1</f>
        <v>11</v>
      </c>
      <c r="B26" s="94" t="s">
        <v>239</v>
      </c>
      <c r="C26" s="208">
        <f>+SUM(C22:C25)</f>
        <v>0</v>
      </c>
      <c r="D26" s="208">
        <f t="shared" ref="D26:K26" si="12">+SUM(D22:D25)</f>
        <v>0</v>
      </c>
      <c r="E26" s="208">
        <f t="shared" si="12"/>
        <v>0</v>
      </c>
      <c r="F26" s="208">
        <f t="shared" si="12"/>
        <v>0</v>
      </c>
      <c r="G26" s="208">
        <f t="shared" si="12"/>
        <v>0</v>
      </c>
      <c r="H26" s="176"/>
      <c r="I26" s="208">
        <f t="shared" si="12"/>
        <v>0</v>
      </c>
      <c r="J26" s="208"/>
      <c r="K26" s="208">
        <f t="shared" si="12"/>
        <v>0</v>
      </c>
      <c r="L26" s="208">
        <f t="shared" ref="L26" si="13">+SUM(L22:L25)</f>
        <v>0</v>
      </c>
      <c r="M26" s="208">
        <f t="shared" ref="M26" si="14">+SUM(M22:M25)</f>
        <v>0</v>
      </c>
      <c r="N26" s="208">
        <f t="shared" ref="N26" si="15">+SUM(N22:N25)</f>
        <v>0</v>
      </c>
      <c r="O26" s="200"/>
    </row>
    <row r="27" spans="1:15" ht="15.75">
      <c r="A27" s="64"/>
      <c r="B27" s="94"/>
      <c r="C27" s="208"/>
      <c r="D27" s="208"/>
      <c r="E27" s="208"/>
      <c r="F27" s="208"/>
      <c r="G27" s="208"/>
      <c r="H27" s="176"/>
      <c r="I27" s="208"/>
      <c r="J27" s="208"/>
      <c r="K27" s="208"/>
      <c r="L27" s="171"/>
      <c r="M27" s="171"/>
      <c r="N27" s="171"/>
      <c r="O27" s="171"/>
    </row>
    <row r="28" spans="1:15" ht="15.75">
      <c r="A28" s="64"/>
      <c r="B28" s="94" t="s">
        <v>240</v>
      </c>
      <c r="C28" s="208"/>
      <c r="D28" s="208"/>
      <c r="E28" s="208"/>
      <c r="F28" s="208"/>
      <c r="G28" s="208"/>
      <c r="H28" s="176"/>
      <c r="I28" s="208"/>
      <c r="J28" s="208"/>
      <c r="K28" s="208"/>
      <c r="L28" s="171"/>
      <c r="M28" s="171"/>
      <c r="N28" s="171"/>
      <c r="O28" s="171"/>
    </row>
    <row r="29" spans="1:15" ht="15.75">
      <c r="A29" s="64">
        <f>+A26+1</f>
        <v>12</v>
      </c>
      <c r="B29" s="213"/>
      <c r="C29" s="202">
        <v>0</v>
      </c>
      <c r="D29" s="224">
        <f>+C29*$J$76</f>
        <v>0</v>
      </c>
      <c r="E29" s="198">
        <f t="shared" ref="E29:E33" si="16">+C29-D29</f>
        <v>0</v>
      </c>
      <c r="F29" s="200">
        <v>0</v>
      </c>
      <c r="G29" s="198">
        <f t="shared" ref="G29:G33" si="17">+E29+F29</f>
        <v>0</v>
      </c>
      <c r="H29" s="199">
        <v>0</v>
      </c>
      <c r="I29" s="198">
        <f t="shared" ref="I29:I33" si="18">+G29*H29</f>
        <v>0</v>
      </c>
      <c r="J29" s="200"/>
      <c r="K29" s="208">
        <v>0</v>
      </c>
      <c r="L29" s="171">
        <f t="shared" ref="L29:L33" si="19">+I29-K29</f>
        <v>0</v>
      </c>
      <c r="M29" s="170">
        <v>0</v>
      </c>
      <c r="N29" s="171">
        <f t="shared" ref="N29:N33" si="20">+L29-M29</f>
        <v>0</v>
      </c>
      <c r="O29" s="170"/>
    </row>
    <row r="30" spans="1:15" ht="15.75">
      <c r="A30" s="64">
        <f>+A29+1</f>
        <v>13</v>
      </c>
      <c r="B30" s="213"/>
      <c r="C30" s="202">
        <v>0</v>
      </c>
      <c r="D30" s="224">
        <v>0</v>
      </c>
      <c r="E30" s="198">
        <f t="shared" si="16"/>
        <v>0</v>
      </c>
      <c r="F30" s="200">
        <v>0</v>
      </c>
      <c r="G30" s="198">
        <f t="shared" si="17"/>
        <v>0</v>
      </c>
      <c r="H30" s="199">
        <v>0</v>
      </c>
      <c r="I30" s="198">
        <f t="shared" si="18"/>
        <v>0</v>
      </c>
      <c r="J30" s="200"/>
      <c r="K30" s="208">
        <v>0</v>
      </c>
      <c r="L30" s="171">
        <f t="shared" si="19"/>
        <v>0</v>
      </c>
      <c r="M30" s="170">
        <v>0</v>
      </c>
      <c r="N30" s="171">
        <f t="shared" si="20"/>
        <v>0</v>
      </c>
      <c r="O30" s="170"/>
    </row>
    <row r="31" spans="1:15" ht="15.75">
      <c r="A31" s="64">
        <f t="shared" ref="A31:A33" si="21">+A30+1</f>
        <v>14</v>
      </c>
      <c r="B31" s="213"/>
      <c r="C31" s="202">
        <v>0</v>
      </c>
      <c r="D31" s="224">
        <v>0</v>
      </c>
      <c r="E31" s="198">
        <f t="shared" si="16"/>
        <v>0</v>
      </c>
      <c r="F31" s="200">
        <v>0</v>
      </c>
      <c r="G31" s="198">
        <f t="shared" si="17"/>
        <v>0</v>
      </c>
      <c r="H31" s="199">
        <v>0</v>
      </c>
      <c r="I31" s="198">
        <f t="shared" si="18"/>
        <v>0</v>
      </c>
      <c r="J31" s="200"/>
      <c r="K31" s="208">
        <v>0</v>
      </c>
      <c r="L31" s="171">
        <f t="shared" si="19"/>
        <v>0</v>
      </c>
      <c r="M31" s="170">
        <v>0</v>
      </c>
      <c r="N31" s="171">
        <f t="shared" si="20"/>
        <v>0</v>
      </c>
      <c r="O31" s="170"/>
    </row>
    <row r="32" spans="1:15" ht="15.75">
      <c r="A32" s="64">
        <f t="shared" si="21"/>
        <v>15</v>
      </c>
      <c r="B32" s="213"/>
      <c r="C32" s="202">
        <v>0</v>
      </c>
      <c r="D32" s="224">
        <v>0</v>
      </c>
      <c r="E32" s="198">
        <f t="shared" si="16"/>
        <v>0</v>
      </c>
      <c r="F32" s="200">
        <v>0</v>
      </c>
      <c r="G32" s="198">
        <f t="shared" si="17"/>
        <v>0</v>
      </c>
      <c r="H32" s="199">
        <v>0</v>
      </c>
      <c r="I32" s="198">
        <f t="shared" si="18"/>
        <v>0</v>
      </c>
      <c r="J32" s="200"/>
      <c r="K32" s="208">
        <v>0</v>
      </c>
      <c r="L32" s="171">
        <f t="shared" si="19"/>
        <v>0</v>
      </c>
      <c r="M32" s="170">
        <v>0</v>
      </c>
      <c r="N32" s="171">
        <f t="shared" si="20"/>
        <v>0</v>
      </c>
      <c r="O32" s="170"/>
    </row>
    <row r="33" spans="1:15" ht="15.75">
      <c r="A33" s="64">
        <f t="shared" si="21"/>
        <v>16</v>
      </c>
      <c r="B33" s="213"/>
      <c r="C33" s="311">
        <v>0</v>
      </c>
      <c r="D33" s="618">
        <v>0</v>
      </c>
      <c r="E33" s="198">
        <f t="shared" si="16"/>
        <v>0</v>
      </c>
      <c r="F33" s="200">
        <v>0</v>
      </c>
      <c r="G33" s="204">
        <f t="shared" si="17"/>
        <v>0</v>
      </c>
      <c r="H33" s="199">
        <v>0</v>
      </c>
      <c r="I33" s="204">
        <f t="shared" si="18"/>
        <v>0</v>
      </c>
      <c r="J33" s="200"/>
      <c r="K33" s="212">
        <v>0</v>
      </c>
      <c r="L33" s="206">
        <f t="shared" si="19"/>
        <v>0</v>
      </c>
      <c r="M33" s="214">
        <v>0</v>
      </c>
      <c r="N33" s="206">
        <f t="shared" si="20"/>
        <v>0</v>
      </c>
      <c r="O33" s="170"/>
    </row>
    <row r="34" spans="1:15" ht="15.75">
      <c r="A34" s="64">
        <f>+A33+1</f>
        <v>17</v>
      </c>
      <c r="B34" s="94" t="s">
        <v>241</v>
      </c>
      <c r="C34" s="208">
        <f>+SUM(C29:C33)</f>
        <v>0</v>
      </c>
      <c r="D34" s="208">
        <f>+SUM(D29:D33)</f>
        <v>0</v>
      </c>
      <c r="E34" s="208">
        <f>+SUM(E29:E33)</f>
        <v>0</v>
      </c>
      <c r="F34" s="208">
        <f>+SUM(F29:F33)</f>
        <v>0</v>
      </c>
      <c r="G34" s="208">
        <f>+SUM(G29:G33)</f>
        <v>0</v>
      </c>
      <c r="H34" s="209"/>
      <c r="I34" s="208">
        <f>+SUM(I29:I33)</f>
        <v>0</v>
      </c>
      <c r="J34" s="208"/>
      <c r="K34" s="208">
        <f>+SUM(K29:K33)</f>
        <v>0</v>
      </c>
      <c r="L34" s="208">
        <f>+SUM(L29:L33)</f>
        <v>0</v>
      </c>
      <c r="M34" s="208">
        <f>+SUM(M29:M33)</f>
        <v>0</v>
      </c>
      <c r="N34" s="208">
        <f>+SUM(N29:N33)</f>
        <v>0</v>
      </c>
      <c r="O34" s="200"/>
    </row>
    <row r="35" spans="1:15" ht="15.75">
      <c r="A35" s="64"/>
      <c r="B35" s="94"/>
      <c r="C35" s="94"/>
      <c r="D35" s="94"/>
      <c r="E35" s="208"/>
      <c r="F35" s="208"/>
      <c r="G35" s="208"/>
      <c r="H35" s="209"/>
      <c r="I35" s="208"/>
      <c r="J35" s="208"/>
      <c r="K35" s="208"/>
      <c r="L35" s="171"/>
      <c r="M35" s="171"/>
      <c r="N35" s="171"/>
      <c r="O35" s="171"/>
    </row>
    <row r="36" spans="1:15" ht="30.75">
      <c r="A36" s="64">
        <f>+A34+1</f>
        <v>18</v>
      </c>
      <c r="B36" s="94" t="s">
        <v>242</v>
      </c>
      <c r="C36" s="94"/>
      <c r="D36" s="94"/>
      <c r="E36" s="208">
        <f>+E19+E26+E34</f>
        <v>0</v>
      </c>
      <c r="F36" s="208"/>
      <c r="G36" s="208">
        <f>+G19+G26+G34</f>
        <v>0</v>
      </c>
      <c r="H36" s="209"/>
      <c r="I36" s="208">
        <f>+I19+I26+I34</f>
        <v>0</v>
      </c>
      <c r="J36" s="208"/>
      <c r="K36" s="208">
        <f>+K19+K26+K34</f>
        <v>0</v>
      </c>
      <c r="L36" s="208">
        <f>+L19+L26+L34</f>
        <v>0</v>
      </c>
      <c r="M36" s="208">
        <f>+M19+M26+M34</f>
        <v>0</v>
      </c>
      <c r="N36" s="208">
        <f>+N19+N26+N34</f>
        <v>0</v>
      </c>
      <c r="O36" s="200"/>
    </row>
    <row r="37" spans="1:15" ht="15.75">
      <c r="A37" s="64">
        <f>+A36+1</f>
        <v>19</v>
      </c>
      <c r="B37" s="94" t="s">
        <v>243</v>
      </c>
      <c r="C37" s="94"/>
      <c r="D37" s="94"/>
      <c r="E37" s="212">
        <v>0</v>
      </c>
      <c r="F37" s="212"/>
      <c r="G37" s="203">
        <v>0</v>
      </c>
      <c r="H37" s="209"/>
      <c r="I37" s="203">
        <v>0</v>
      </c>
      <c r="J37" s="208"/>
      <c r="K37" s="212"/>
      <c r="L37" s="203">
        <v>0</v>
      </c>
      <c r="M37" s="171"/>
      <c r="N37" s="203">
        <v>0</v>
      </c>
      <c r="O37" s="170"/>
    </row>
    <row r="38" spans="1:15" ht="30.75">
      <c r="A38" s="64">
        <f>+A37+1</f>
        <v>20</v>
      </c>
      <c r="B38" s="94" t="s">
        <v>244</v>
      </c>
      <c r="C38" s="94"/>
      <c r="D38" s="94"/>
      <c r="E38" s="208">
        <f>+E36+E37</f>
        <v>0</v>
      </c>
      <c r="F38" s="212"/>
      <c r="G38" s="208">
        <f>+G36+G37</f>
        <v>0</v>
      </c>
      <c r="H38" s="209"/>
      <c r="I38" s="208">
        <f>+I36+I37</f>
        <v>0</v>
      </c>
      <c r="J38" s="208"/>
      <c r="K38" s="208"/>
      <c r="L38" s="208">
        <f>+L36+L37</f>
        <v>0</v>
      </c>
      <c r="M38" s="171"/>
      <c r="N38" s="208">
        <f>+N36+N37</f>
        <v>0</v>
      </c>
      <c r="O38" s="170"/>
    </row>
    <row r="39" spans="1:15" ht="15.75">
      <c r="A39" s="64"/>
      <c r="B39" s="94"/>
      <c r="C39" s="94"/>
      <c r="D39" s="94"/>
      <c r="E39" s="208"/>
      <c r="F39" s="208"/>
      <c r="G39" s="208"/>
      <c r="H39" s="209"/>
      <c r="I39" s="208"/>
      <c r="J39" s="208"/>
      <c r="K39" s="208"/>
      <c r="L39" s="171"/>
      <c r="M39" s="171"/>
      <c r="N39" s="171"/>
      <c r="O39" s="171"/>
    </row>
    <row r="40" spans="1:15" ht="15.75">
      <c r="A40" s="64"/>
      <c r="B40" s="94"/>
      <c r="C40" s="94"/>
      <c r="D40" s="94"/>
      <c r="E40" s="208"/>
      <c r="F40" s="208"/>
      <c r="G40" s="208"/>
      <c r="H40" s="209"/>
      <c r="I40" s="208"/>
      <c r="J40" s="208"/>
      <c r="K40" s="208"/>
      <c r="L40" s="171"/>
      <c r="M40" s="171"/>
      <c r="N40" s="171"/>
      <c r="O40" s="171"/>
    </row>
    <row r="41" spans="1:15" ht="31.5">
      <c r="A41" s="64"/>
      <c r="B41" s="120" t="s">
        <v>245</v>
      </c>
      <c r="C41" s="120"/>
      <c r="D41" s="120"/>
      <c r="E41" s="208"/>
      <c r="F41" s="208"/>
      <c r="G41" s="208"/>
      <c r="H41" s="209"/>
      <c r="I41" s="208"/>
      <c r="J41" s="208"/>
      <c r="K41" s="208"/>
      <c r="L41" s="171"/>
      <c r="M41" s="171"/>
      <c r="N41" s="171"/>
      <c r="O41" s="171"/>
    </row>
    <row r="42" spans="1:15" ht="31.5" customHeight="1">
      <c r="A42" s="64"/>
      <c r="B42" s="207" t="s">
        <v>236</v>
      </c>
      <c r="C42" s="207"/>
      <c r="D42" s="207"/>
      <c r="E42" s="211"/>
      <c r="F42" s="211"/>
      <c r="G42" s="211"/>
      <c r="H42" s="209"/>
      <c r="I42" s="208"/>
      <c r="J42" s="208"/>
      <c r="K42" s="208"/>
      <c r="L42" s="171"/>
      <c r="M42" s="171"/>
      <c r="N42" s="171"/>
      <c r="O42" s="171"/>
    </row>
    <row r="43" spans="1:15" ht="15.75">
      <c r="A43" s="64">
        <f>+A38+1</f>
        <v>21</v>
      </c>
      <c r="B43" s="213"/>
      <c r="C43" s="200">
        <v>0</v>
      </c>
      <c r="D43" s="197">
        <f>+C43*$J$76</f>
        <v>0</v>
      </c>
      <c r="E43" s="198">
        <f t="shared" ref="E43:E44" si="22">+C43-D43</f>
        <v>0</v>
      </c>
      <c r="F43" s="200">
        <v>0</v>
      </c>
      <c r="G43" s="202">
        <f>+E43+F43</f>
        <v>0</v>
      </c>
      <c r="H43" s="199">
        <v>0</v>
      </c>
      <c r="I43" s="198">
        <f t="shared" ref="I43:I44" si="23">+G43*H43</f>
        <v>0</v>
      </c>
      <c r="J43" s="200"/>
      <c r="K43" s="208">
        <v>0</v>
      </c>
      <c r="L43" s="171">
        <f>+I43-K43</f>
        <v>0</v>
      </c>
      <c r="M43" s="200">
        <v>0</v>
      </c>
      <c r="N43" s="171">
        <f>+L43-M43</f>
        <v>0</v>
      </c>
      <c r="O43" s="200"/>
    </row>
    <row r="44" spans="1:15" ht="15.75">
      <c r="A44" s="64">
        <f>+A43+1</f>
        <v>22</v>
      </c>
      <c r="B44" s="213"/>
      <c r="C44" s="203">
        <v>0</v>
      </c>
      <c r="D44" s="215">
        <f>+C44*$J$76</f>
        <v>0</v>
      </c>
      <c r="E44" s="204">
        <f t="shared" si="22"/>
        <v>0</v>
      </c>
      <c r="F44" s="203">
        <v>0</v>
      </c>
      <c r="G44" s="205">
        <f>+E44+F44</f>
        <v>0</v>
      </c>
      <c r="H44" s="199">
        <v>0</v>
      </c>
      <c r="I44" s="310">
        <f t="shared" si="23"/>
        <v>0</v>
      </c>
      <c r="J44" s="200"/>
      <c r="K44" s="212">
        <v>0</v>
      </c>
      <c r="L44" s="206">
        <f>+I44-K44</f>
        <v>0</v>
      </c>
      <c r="M44" s="203">
        <v>0</v>
      </c>
      <c r="N44" s="206">
        <f>+L44-M44</f>
        <v>0</v>
      </c>
      <c r="O44" s="203"/>
    </row>
    <row r="45" spans="1:15" ht="15.75">
      <c r="A45" s="64">
        <f>+A44+1</f>
        <v>23</v>
      </c>
      <c r="B45" s="94" t="s">
        <v>246</v>
      </c>
      <c r="C45" s="208">
        <f>+C43+C44</f>
        <v>0</v>
      </c>
      <c r="D45" s="208">
        <f>+D43+D44</f>
        <v>0</v>
      </c>
      <c r="E45" s="208">
        <f>+E43+E44</f>
        <v>0</v>
      </c>
      <c r="F45" s="208">
        <f>+F43+F44</f>
        <v>0</v>
      </c>
      <c r="G45" s="208">
        <f>+G43+G44</f>
        <v>0</v>
      </c>
      <c r="H45" s="209"/>
      <c r="I45" s="208">
        <v>0</v>
      </c>
      <c r="J45" s="208"/>
      <c r="K45" s="208">
        <v>0</v>
      </c>
      <c r="L45" s="208">
        <v>0</v>
      </c>
      <c r="M45" s="208">
        <v>0</v>
      </c>
      <c r="N45" s="208">
        <v>0</v>
      </c>
      <c r="O45" s="200"/>
    </row>
    <row r="46" spans="1:15" ht="15.75">
      <c r="A46" s="64"/>
      <c r="B46" s="94"/>
      <c r="C46" s="208"/>
      <c r="D46" s="208"/>
      <c r="E46" s="208"/>
      <c r="F46" s="208"/>
      <c r="G46" s="208"/>
      <c r="H46" s="209"/>
      <c r="I46" s="208"/>
      <c r="J46" s="208"/>
      <c r="K46" s="208"/>
      <c r="L46" s="171"/>
      <c r="M46" s="171"/>
      <c r="N46" s="171"/>
      <c r="O46" s="171"/>
    </row>
    <row r="47" spans="1:15" ht="15.75">
      <c r="A47" s="64"/>
      <c r="B47" s="207" t="s">
        <v>238</v>
      </c>
      <c r="C47" s="208"/>
      <c r="D47" s="208"/>
      <c r="E47" s="208"/>
      <c r="F47" s="208"/>
      <c r="G47" s="208"/>
      <c r="H47" s="209"/>
      <c r="I47" s="208"/>
      <c r="J47" s="208"/>
      <c r="K47" s="208"/>
      <c r="L47" s="171"/>
      <c r="M47" s="171"/>
      <c r="N47" s="171"/>
      <c r="O47" s="171"/>
    </row>
    <row r="48" spans="1:15" ht="15.75">
      <c r="A48" s="64">
        <f>+A45+1</f>
        <v>24</v>
      </c>
      <c r="B48" s="299" t="s">
        <v>401</v>
      </c>
      <c r="C48" s="200">
        <v>0</v>
      </c>
      <c r="D48" s="197">
        <f>+C48*$J$76</f>
        <v>0</v>
      </c>
      <c r="E48" s="198">
        <f t="shared" ref="E48" si="24">+C48-D48</f>
        <v>0</v>
      </c>
      <c r="F48" s="200">
        <v>0</v>
      </c>
      <c r="G48" s="202">
        <f>+E48+F48</f>
        <v>0</v>
      </c>
      <c r="H48" s="199">
        <v>0</v>
      </c>
      <c r="I48" s="198">
        <f t="shared" ref="I48:I52" si="25">+G48*H48</f>
        <v>0</v>
      </c>
      <c r="J48" s="201" t="s">
        <v>247</v>
      </c>
      <c r="K48" s="202">
        <v>0</v>
      </c>
      <c r="L48" s="171">
        <f t="shared" ref="L48" si="26">+I48-K48</f>
        <v>0</v>
      </c>
      <c r="M48" s="170">
        <v>0</v>
      </c>
      <c r="N48" s="171">
        <f t="shared" ref="N48:N52" si="27">+L48-M48</f>
        <v>0</v>
      </c>
      <c r="O48" s="170"/>
    </row>
    <row r="49" spans="1:15" ht="15.75">
      <c r="A49" s="64">
        <f>+A48+1</f>
        <v>25</v>
      </c>
      <c r="B49" s="216"/>
      <c r="C49" s="200">
        <v>0</v>
      </c>
      <c r="D49" s="197">
        <f>+C49*$J$76</f>
        <v>0</v>
      </c>
      <c r="E49" s="198">
        <f t="shared" ref="E49:E52" si="28">+C49-D49</f>
        <v>0</v>
      </c>
      <c r="F49" s="200">
        <v>0</v>
      </c>
      <c r="G49" s="202">
        <f t="shared" ref="G49:G52" si="29">+E49+F49</f>
        <v>0</v>
      </c>
      <c r="H49" s="199">
        <v>0</v>
      </c>
      <c r="I49" s="198">
        <f t="shared" si="25"/>
        <v>0</v>
      </c>
      <c r="J49" s="226"/>
      <c r="K49" s="202">
        <v>0</v>
      </c>
      <c r="L49" s="171">
        <f t="shared" ref="L49:L52" si="30">+I49-K49</f>
        <v>0</v>
      </c>
      <c r="M49" s="170">
        <v>0</v>
      </c>
      <c r="N49" s="171">
        <f t="shared" si="27"/>
        <v>0</v>
      </c>
      <c r="O49" s="170"/>
    </row>
    <row r="50" spans="1:15" ht="15.75">
      <c r="A50" s="64">
        <f t="shared" ref="A50:A52" si="31">+A49+1</f>
        <v>26</v>
      </c>
      <c r="B50" s="216"/>
      <c r="C50" s="200">
        <v>0</v>
      </c>
      <c r="D50" s="197">
        <f>+C50*$J$76</f>
        <v>0</v>
      </c>
      <c r="E50" s="198">
        <f t="shared" si="28"/>
        <v>0</v>
      </c>
      <c r="F50" s="200">
        <v>0</v>
      </c>
      <c r="G50" s="202">
        <f t="shared" si="29"/>
        <v>0</v>
      </c>
      <c r="H50" s="199">
        <v>0</v>
      </c>
      <c r="I50" s="198">
        <f t="shared" si="25"/>
        <v>0</v>
      </c>
      <c r="J50" s="226"/>
      <c r="K50" s="202">
        <v>0</v>
      </c>
      <c r="L50" s="171">
        <f t="shared" si="30"/>
        <v>0</v>
      </c>
      <c r="M50" s="170">
        <v>0</v>
      </c>
      <c r="N50" s="171">
        <f t="shared" si="27"/>
        <v>0</v>
      </c>
      <c r="O50" s="170"/>
    </row>
    <row r="51" spans="1:15" ht="15.75">
      <c r="A51" s="64">
        <f t="shared" si="31"/>
        <v>27</v>
      </c>
      <c r="B51" s="216"/>
      <c r="C51" s="200">
        <v>0</v>
      </c>
      <c r="D51" s="197">
        <f>+C51*$J$76</f>
        <v>0</v>
      </c>
      <c r="E51" s="198">
        <f t="shared" si="28"/>
        <v>0</v>
      </c>
      <c r="F51" s="200">
        <v>0</v>
      </c>
      <c r="G51" s="202">
        <f t="shared" si="29"/>
        <v>0</v>
      </c>
      <c r="H51" s="199">
        <v>0</v>
      </c>
      <c r="I51" s="198">
        <f t="shared" si="25"/>
        <v>0</v>
      </c>
      <c r="J51" s="226"/>
      <c r="K51" s="202">
        <v>0</v>
      </c>
      <c r="L51" s="171">
        <f t="shared" si="30"/>
        <v>0</v>
      </c>
      <c r="M51" s="170">
        <v>0</v>
      </c>
      <c r="N51" s="171">
        <f t="shared" si="27"/>
        <v>0</v>
      </c>
      <c r="O51" s="170"/>
    </row>
    <row r="52" spans="1:15" ht="15.75">
      <c r="A52" s="64">
        <f t="shared" si="31"/>
        <v>28</v>
      </c>
      <c r="B52" s="216"/>
      <c r="C52" s="203">
        <v>0</v>
      </c>
      <c r="D52" s="215">
        <f>+C52*$J$76</f>
        <v>0</v>
      </c>
      <c r="E52" s="204">
        <f t="shared" si="28"/>
        <v>0</v>
      </c>
      <c r="F52" s="203">
        <v>0</v>
      </c>
      <c r="G52" s="205">
        <f t="shared" si="29"/>
        <v>0</v>
      </c>
      <c r="H52" s="199">
        <v>0</v>
      </c>
      <c r="I52" s="204">
        <f t="shared" si="25"/>
        <v>0</v>
      </c>
      <c r="J52" s="226"/>
      <c r="K52" s="205">
        <v>0</v>
      </c>
      <c r="L52" s="206">
        <f t="shared" si="30"/>
        <v>0</v>
      </c>
      <c r="M52" s="214">
        <v>0</v>
      </c>
      <c r="N52" s="206">
        <f t="shared" si="27"/>
        <v>0</v>
      </c>
      <c r="O52" s="170"/>
    </row>
    <row r="53" spans="1:15" ht="15.75">
      <c r="A53" s="64">
        <f>+A52+1</f>
        <v>29</v>
      </c>
      <c r="B53" s="94" t="s">
        <v>239</v>
      </c>
      <c r="C53" s="208">
        <f>+SUM(C48:C52)</f>
        <v>0</v>
      </c>
      <c r="D53" s="208">
        <f>+SUM(D48:D52)</f>
        <v>0</v>
      </c>
      <c r="E53" s="208">
        <f>+SUM(E48:E52)</f>
        <v>0</v>
      </c>
      <c r="F53" s="208">
        <f>+SUM(F48:F52)</f>
        <v>0</v>
      </c>
      <c r="G53" s="208">
        <f>+SUM(G48:G52)</f>
        <v>0</v>
      </c>
      <c r="H53" s="209"/>
      <c r="I53" s="217">
        <f>+SUM(I48:I52)</f>
        <v>0</v>
      </c>
      <c r="J53" s="217"/>
      <c r="K53" s="217">
        <f>+SUM(K48:K52)</f>
        <v>0</v>
      </c>
      <c r="L53" s="217">
        <f>+SUM(L48:L52)</f>
        <v>0</v>
      </c>
      <c r="M53" s="217">
        <f>+SUM(M48:M52)</f>
        <v>0</v>
      </c>
      <c r="N53" s="217">
        <f>+SUM(N48:N52)</f>
        <v>0</v>
      </c>
      <c r="O53" s="223"/>
    </row>
    <row r="54" spans="1:15" ht="15.75">
      <c r="A54" s="64"/>
      <c r="B54" s="94"/>
      <c r="C54" s="208"/>
      <c r="D54" s="208"/>
      <c r="E54" s="208"/>
      <c r="F54" s="208"/>
      <c r="G54" s="208"/>
      <c r="H54" s="209"/>
      <c r="I54" s="208"/>
      <c r="J54" s="208"/>
      <c r="K54" s="208"/>
      <c r="L54" s="171"/>
      <c r="M54" s="171"/>
      <c r="N54" s="171"/>
      <c r="O54" s="171"/>
    </row>
    <row r="55" spans="1:15" ht="15.75">
      <c r="A55" s="64"/>
      <c r="B55" s="94" t="s">
        <v>240</v>
      </c>
      <c r="C55" s="208"/>
      <c r="D55" s="208"/>
      <c r="E55" s="208"/>
      <c r="F55" s="208"/>
      <c r="G55" s="208"/>
      <c r="H55" s="209"/>
      <c r="I55" s="208"/>
      <c r="J55" s="208"/>
      <c r="K55" s="208"/>
      <c r="L55" s="171"/>
      <c r="M55" s="171"/>
      <c r="N55" s="171"/>
      <c r="O55" s="171"/>
    </row>
    <row r="56" spans="1:15" ht="15.75">
      <c r="A56" s="64">
        <f>+A53+1</f>
        <v>30</v>
      </c>
      <c r="B56" s="216"/>
      <c r="C56" s="200">
        <v>0</v>
      </c>
      <c r="D56" s="197">
        <f>+C56*$J$76</f>
        <v>0</v>
      </c>
      <c r="E56" s="198">
        <f t="shared" ref="E56" si="32">+C56-D56</f>
        <v>0</v>
      </c>
      <c r="F56" s="200">
        <v>0</v>
      </c>
      <c r="G56" s="202">
        <f>+E56+F56</f>
        <v>0</v>
      </c>
      <c r="H56" s="199">
        <v>0</v>
      </c>
      <c r="I56" s="198">
        <f t="shared" ref="I56:I60" si="33">+G56*H56</f>
        <v>0</v>
      </c>
      <c r="J56" s="226"/>
      <c r="K56" s="202">
        <v>0</v>
      </c>
      <c r="L56" s="171">
        <f t="shared" ref="L56:L60" si="34">+I56-K56</f>
        <v>0</v>
      </c>
      <c r="M56" s="171">
        <v>0</v>
      </c>
      <c r="N56" s="171">
        <f t="shared" ref="N56:N60" si="35">+L56-M56</f>
        <v>0</v>
      </c>
      <c r="O56" s="170"/>
    </row>
    <row r="57" spans="1:15" ht="15.75">
      <c r="A57" s="64">
        <f>+A56+1</f>
        <v>31</v>
      </c>
      <c r="B57" s="216"/>
      <c r="C57" s="200">
        <v>0</v>
      </c>
      <c r="D57" s="197">
        <f>+C57*$J$76</f>
        <v>0</v>
      </c>
      <c r="E57" s="198">
        <f t="shared" ref="E57:E60" si="36">+C57-D57</f>
        <v>0</v>
      </c>
      <c r="F57" s="200">
        <v>0</v>
      </c>
      <c r="G57" s="202">
        <f t="shared" ref="G57:G60" si="37">+E57+F57</f>
        <v>0</v>
      </c>
      <c r="H57" s="199">
        <v>0</v>
      </c>
      <c r="I57" s="198">
        <f t="shared" si="33"/>
        <v>0</v>
      </c>
      <c r="J57" s="226"/>
      <c r="K57" s="202">
        <v>0</v>
      </c>
      <c r="L57" s="171">
        <f t="shared" si="34"/>
        <v>0</v>
      </c>
      <c r="M57" s="171">
        <v>0</v>
      </c>
      <c r="N57" s="171">
        <f t="shared" si="35"/>
        <v>0</v>
      </c>
      <c r="O57" s="170"/>
    </row>
    <row r="58" spans="1:15" ht="15.75">
      <c r="A58" s="64">
        <f t="shared" ref="A58:A60" si="38">+A57+1</f>
        <v>32</v>
      </c>
      <c r="B58" s="216"/>
      <c r="C58" s="200">
        <v>0</v>
      </c>
      <c r="D58" s="197">
        <f>+C58*$J$76</f>
        <v>0</v>
      </c>
      <c r="E58" s="198">
        <f t="shared" si="36"/>
        <v>0</v>
      </c>
      <c r="F58" s="200">
        <v>0</v>
      </c>
      <c r="G58" s="202">
        <f t="shared" si="37"/>
        <v>0</v>
      </c>
      <c r="H58" s="199">
        <v>0</v>
      </c>
      <c r="I58" s="198">
        <f t="shared" si="33"/>
        <v>0</v>
      </c>
      <c r="J58" s="226"/>
      <c r="K58" s="202">
        <v>0</v>
      </c>
      <c r="L58" s="171">
        <f t="shared" si="34"/>
        <v>0</v>
      </c>
      <c r="M58" s="171">
        <v>0</v>
      </c>
      <c r="N58" s="171">
        <f t="shared" si="35"/>
        <v>0</v>
      </c>
      <c r="O58" s="170"/>
    </row>
    <row r="59" spans="1:15" ht="15.75">
      <c r="A59" s="64">
        <f t="shared" si="38"/>
        <v>33</v>
      </c>
      <c r="B59" s="216"/>
      <c r="C59" s="200">
        <v>0</v>
      </c>
      <c r="D59" s="197">
        <f>+C59*$J$76</f>
        <v>0</v>
      </c>
      <c r="E59" s="198">
        <f t="shared" si="36"/>
        <v>0</v>
      </c>
      <c r="F59" s="200">
        <v>0</v>
      </c>
      <c r="G59" s="202">
        <f t="shared" si="37"/>
        <v>0</v>
      </c>
      <c r="H59" s="199">
        <v>0</v>
      </c>
      <c r="I59" s="198">
        <f t="shared" si="33"/>
        <v>0</v>
      </c>
      <c r="J59" s="226"/>
      <c r="K59" s="202">
        <v>0</v>
      </c>
      <c r="L59" s="171">
        <f t="shared" si="34"/>
        <v>0</v>
      </c>
      <c r="M59" s="171">
        <v>0</v>
      </c>
      <c r="N59" s="171">
        <f t="shared" si="35"/>
        <v>0</v>
      </c>
      <c r="O59" s="170"/>
    </row>
    <row r="60" spans="1:15" ht="15.75">
      <c r="A60" s="64">
        <f t="shared" si="38"/>
        <v>34</v>
      </c>
      <c r="B60" s="216"/>
      <c r="C60" s="203">
        <v>0</v>
      </c>
      <c r="D60" s="215">
        <f>+C60*$J$76</f>
        <v>0</v>
      </c>
      <c r="E60" s="204">
        <f t="shared" si="36"/>
        <v>0</v>
      </c>
      <c r="F60" s="203">
        <v>0</v>
      </c>
      <c r="G60" s="205">
        <f t="shared" si="37"/>
        <v>0</v>
      </c>
      <c r="H60" s="199">
        <v>0</v>
      </c>
      <c r="I60" s="204">
        <f t="shared" si="33"/>
        <v>0</v>
      </c>
      <c r="J60" s="226"/>
      <c r="K60" s="205">
        <v>0</v>
      </c>
      <c r="L60" s="206">
        <f t="shared" si="34"/>
        <v>0</v>
      </c>
      <c r="M60" s="206">
        <v>0</v>
      </c>
      <c r="N60" s="206">
        <f t="shared" si="35"/>
        <v>0</v>
      </c>
      <c r="O60" s="170"/>
    </row>
    <row r="61" spans="1:15" ht="15.75">
      <c r="A61" s="64">
        <f>+A60+1</f>
        <v>35</v>
      </c>
      <c r="B61" s="64" t="s">
        <v>248</v>
      </c>
      <c r="C61" s="208">
        <f>+SUM(C56:C60)</f>
        <v>0</v>
      </c>
      <c r="D61" s="208">
        <f>+SUM(D47:D60)</f>
        <v>0</v>
      </c>
      <c r="E61" s="208">
        <f>+SUM(E56:E60)</f>
        <v>0</v>
      </c>
      <c r="F61" s="208">
        <f>+SUM(F56:F60)</f>
        <v>0</v>
      </c>
      <c r="G61" s="208">
        <f>+SUM(G56:G60)</f>
        <v>0</v>
      </c>
      <c r="H61" s="209"/>
      <c r="I61" s="208">
        <f>+SUM(I56:I60)</f>
        <v>0</v>
      </c>
      <c r="J61" s="208"/>
      <c r="K61" s="208">
        <f>+SUM(K56:K60)</f>
        <v>0</v>
      </c>
      <c r="L61" s="208">
        <f>+SUM(L56:L60)</f>
        <v>0</v>
      </c>
      <c r="M61" s="208">
        <f>+SUM(M56:M60)</f>
        <v>0</v>
      </c>
      <c r="N61" s="208">
        <f>+SUM(N56:N60)</f>
        <v>0</v>
      </c>
      <c r="O61" s="200"/>
    </row>
    <row r="62" spans="1:15" ht="17.25">
      <c r="A62" s="64"/>
      <c r="B62" s="64"/>
      <c r="C62" s="64"/>
      <c r="D62" s="64"/>
      <c r="E62" s="211"/>
      <c r="F62" s="218"/>
      <c r="G62" s="211"/>
      <c r="H62" s="209"/>
      <c r="I62" s="211"/>
      <c r="J62" s="211"/>
      <c r="K62" s="211"/>
      <c r="L62" s="211"/>
      <c r="M62" s="211"/>
      <c r="N62" s="211"/>
      <c r="O62" s="353"/>
    </row>
    <row r="63" spans="1:15" ht="32.25">
      <c r="A63" s="64">
        <f>+A61+1</f>
        <v>36</v>
      </c>
      <c r="B63" s="94" t="s">
        <v>242</v>
      </c>
      <c r="C63" s="94"/>
      <c r="D63" s="94"/>
      <c r="E63" s="208">
        <f>+E45+E53+E61</f>
        <v>0</v>
      </c>
      <c r="F63" s="208"/>
      <c r="G63" s="208">
        <f>+G45+G53+G61</f>
        <v>0</v>
      </c>
      <c r="H63" s="209"/>
      <c r="I63" s="208">
        <f>+I45+I53+I61</f>
        <v>0</v>
      </c>
      <c r="J63" s="211"/>
      <c r="K63" s="208">
        <f>+K45+K53+K61</f>
        <v>0</v>
      </c>
      <c r="L63" s="208">
        <f>+L45+L53+L61</f>
        <v>0</v>
      </c>
      <c r="M63" s="208">
        <f>+M45+M53+M61</f>
        <v>0</v>
      </c>
      <c r="N63" s="208">
        <f>+N45+N53+N61</f>
        <v>0</v>
      </c>
      <c r="O63" s="200"/>
    </row>
    <row r="64" spans="1:15" ht="15.75">
      <c r="A64" s="64">
        <f>+A63+1</f>
        <v>37</v>
      </c>
      <c r="B64" s="94" t="s">
        <v>243</v>
      </c>
      <c r="C64" s="94"/>
      <c r="D64" s="94"/>
      <c r="E64" s="203">
        <v>0.26582278481012656</v>
      </c>
      <c r="F64" s="212"/>
      <c r="G64" s="203">
        <v>0</v>
      </c>
      <c r="H64" s="209"/>
      <c r="I64" s="203">
        <v>0</v>
      </c>
      <c r="J64" s="208"/>
      <c r="K64" s="208"/>
      <c r="L64" s="203">
        <v>0</v>
      </c>
      <c r="M64" s="171"/>
      <c r="N64" s="203">
        <v>0</v>
      </c>
      <c r="O64" s="170"/>
    </row>
    <row r="65" spans="1:17" ht="30.75">
      <c r="A65" s="64">
        <f>+A64+1</f>
        <v>38</v>
      </c>
      <c r="B65" s="94" t="s">
        <v>249</v>
      </c>
      <c r="C65" s="94"/>
      <c r="D65" s="94"/>
      <c r="E65" s="219">
        <f>+E63+E64</f>
        <v>0.26582278481012656</v>
      </c>
      <c r="F65" s="220"/>
      <c r="G65" s="219">
        <f>+G63+G64</f>
        <v>0</v>
      </c>
      <c r="H65" s="221"/>
      <c r="I65" s="219">
        <f>+I63+I64</f>
        <v>0</v>
      </c>
      <c r="J65" s="220"/>
      <c r="K65" s="220"/>
      <c r="L65" s="219">
        <f>+L63+L64</f>
        <v>0</v>
      </c>
      <c r="M65" s="220"/>
      <c r="N65" s="219">
        <f>+N63+N64</f>
        <v>0</v>
      </c>
      <c r="O65" s="224"/>
    </row>
    <row r="66" spans="1:17" ht="15.75">
      <c r="A66" s="64"/>
      <c r="B66" s="94"/>
      <c r="C66" s="94"/>
      <c r="D66" s="94"/>
      <c r="E66" s="220"/>
      <c r="F66" s="220"/>
      <c r="G66" s="220"/>
      <c r="H66" s="209"/>
      <c r="I66" s="220"/>
      <c r="J66" s="220"/>
      <c r="K66" s="220"/>
      <c r="L66" s="220"/>
      <c r="M66" s="220"/>
      <c r="N66" s="220"/>
      <c r="O66" s="354"/>
    </row>
    <row r="67" spans="1:17" ht="15.75">
      <c r="A67" s="64">
        <f>+A65+1</f>
        <v>39</v>
      </c>
      <c r="B67" s="94" t="s">
        <v>222</v>
      </c>
      <c r="C67" s="94"/>
      <c r="D67" s="94"/>
      <c r="E67" s="220">
        <f>+E38+E65</f>
        <v>0.26582278481012656</v>
      </c>
      <c r="F67" s="220"/>
      <c r="G67" s="220">
        <f>+G38+G65</f>
        <v>0</v>
      </c>
      <c r="H67" s="209"/>
      <c r="I67" s="220">
        <f>+I38+I65</f>
        <v>0</v>
      </c>
      <c r="J67" s="220"/>
      <c r="K67" s="220"/>
      <c r="L67" s="220">
        <f>+L38+L65</f>
        <v>0</v>
      </c>
      <c r="M67" s="220"/>
      <c r="N67" s="220">
        <f>+N38+N65</f>
        <v>0</v>
      </c>
      <c r="O67" s="224"/>
    </row>
    <row r="68" spans="1:17" ht="15.75">
      <c r="A68" s="64"/>
      <c r="B68" s="94"/>
      <c r="C68" s="94"/>
      <c r="D68" s="94"/>
      <c r="E68" s="220"/>
      <c r="F68" s="220"/>
      <c r="G68" s="220"/>
      <c r="H68" s="209"/>
      <c r="I68" s="220"/>
      <c r="J68" s="220"/>
      <c r="K68" s="220"/>
      <c r="L68" s="220"/>
      <c r="M68" s="220"/>
      <c r="N68" s="220"/>
      <c r="O68" s="354"/>
    </row>
    <row r="69" spans="1:17" ht="15.75">
      <c r="A69" s="64">
        <f>+A67+1</f>
        <v>40</v>
      </c>
      <c r="B69" s="64" t="s">
        <v>250</v>
      </c>
      <c r="C69" s="64"/>
      <c r="D69" s="64"/>
      <c r="E69" s="64"/>
      <c r="F69" s="64"/>
      <c r="G69" s="64"/>
      <c r="H69" s="64"/>
      <c r="I69" s="64"/>
      <c r="J69" s="64"/>
      <c r="K69" s="171">
        <f>+K36+K63</f>
        <v>0</v>
      </c>
      <c r="L69" s="64"/>
      <c r="M69" s="171">
        <f>+M36+M63</f>
        <v>0</v>
      </c>
      <c r="N69" s="64"/>
      <c r="O69" s="170"/>
    </row>
    <row r="70" spans="1:17" ht="15.75">
      <c r="A70" s="64"/>
      <c r="B70" s="64"/>
      <c r="C70" s="64"/>
      <c r="D70" s="64"/>
      <c r="E70" s="64"/>
      <c r="F70" s="64"/>
      <c r="G70" s="64"/>
      <c r="H70" s="64"/>
      <c r="I70" s="64"/>
      <c r="J70" s="64"/>
      <c r="K70" s="64"/>
      <c r="L70" s="64"/>
      <c r="M70" s="64"/>
      <c r="N70" s="64"/>
      <c r="O70" s="64"/>
    </row>
    <row r="71" spans="1:17" ht="15.75">
      <c r="A71" s="64"/>
      <c r="B71" s="64" t="s">
        <v>257</v>
      </c>
      <c r="C71" s="64"/>
      <c r="D71" s="64"/>
      <c r="E71" s="64"/>
      <c r="F71" s="64"/>
      <c r="G71" s="64"/>
      <c r="H71" s="64"/>
      <c r="I71" s="64"/>
      <c r="J71" s="64"/>
      <c r="K71" s="64"/>
      <c r="L71" s="64"/>
      <c r="M71" s="64"/>
      <c r="N71" s="64"/>
      <c r="O71" s="64"/>
    </row>
    <row r="72" spans="1:17" ht="15.75" customHeight="1">
      <c r="A72" s="64"/>
      <c r="B72" s="677" t="s">
        <v>546</v>
      </c>
      <c r="C72" s="677"/>
      <c r="D72" s="677"/>
      <c r="E72" s="677"/>
      <c r="F72" s="677"/>
      <c r="G72" s="677"/>
      <c r="H72" s="677"/>
      <c r="I72" s="677"/>
      <c r="J72" s="677"/>
      <c r="K72" s="677"/>
      <c r="L72" s="677"/>
      <c r="M72" s="677"/>
      <c r="N72" s="677"/>
      <c r="O72" s="677"/>
      <c r="P72" s="677"/>
      <c r="Q72" s="677"/>
    </row>
    <row r="73" spans="1:17" ht="15.75">
      <c r="A73" s="64"/>
      <c r="B73" s="64" t="s">
        <v>258</v>
      </c>
      <c r="C73" s="64"/>
      <c r="D73" s="64"/>
      <c r="E73" s="64"/>
      <c r="K73" s="64"/>
      <c r="L73" s="64"/>
      <c r="M73" s="64"/>
      <c r="N73" s="64"/>
      <c r="O73" s="64"/>
    </row>
    <row r="74" spans="1:17" ht="15.75">
      <c r="A74" s="64">
        <f>+A69+1</f>
        <v>41</v>
      </c>
      <c r="B74" s="64"/>
      <c r="C74" s="64"/>
      <c r="D74" s="64"/>
      <c r="F74" s="64" t="s">
        <v>251</v>
      </c>
      <c r="G74" s="64"/>
      <c r="H74" s="64"/>
      <c r="I74" s="64"/>
      <c r="J74" s="225">
        <v>0.01</v>
      </c>
      <c r="K74" s="64"/>
      <c r="L74" s="64"/>
      <c r="M74" s="64"/>
      <c r="N74" s="64"/>
      <c r="O74" s="64"/>
    </row>
    <row r="75" spans="1:17" ht="15.75">
      <c r="A75" s="64">
        <f>+A74+1</f>
        <v>42</v>
      </c>
      <c r="B75" s="64"/>
      <c r="C75" s="64"/>
      <c r="D75" s="64"/>
      <c r="F75" s="64" t="s">
        <v>252</v>
      </c>
      <c r="G75" s="64"/>
      <c r="H75" s="64"/>
      <c r="I75" s="64"/>
      <c r="J75" s="225">
        <v>0.01</v>
      </c>
      <c r="K75" s="64"/>
      <c r="L75" s="64"/>
      <c r="M75" s="64"/>
      <c r="N75" s="64"/>
      <c r="O75" s="64"/>
    </row>
    <row r="76" spans="1:17" ht="15.75">
      <c r="A76" s="352">
        <f>+A75+1</f>
        <v>43</v>
      </c>
      <c r="F76" s="64" t="s">
        <v>253</v>
      </c>
      <c r="G76" s="64"/>
      <c r="H76" s="64"/>
      <c r="I76" s="64"/>
      <c r="J76" s="172">
        <f>+J74/J75</f>
        <v>1</v>
      </c>
    </row>
    <row r="77" spans="1:17" ht="15.75">
      <c r="B77" s="196" t="s">
        <v>259</v>
      </c>
    </row>
    <row r="78" spans="1:17" ht="15.75">
      <c r="B78" s="196" t="s">
        <v>260</v>
      </c>
    </row>
    <row r="79" spans="1:17" ht="15.75">
      <c r="B79" s="196" t="s">
        <v>261</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G19"/>
  <sheetViews>
    <sheetView zoomScaleNormal="100" zoomScaleSheetLayoutView="100" workbookViewId="0">
      <selection activeCell="E11" sqref="E11"/>
    </sheetView>
  </sheetViews>
  <sheetFormatPr defaultColWidth="9.140625" defaultRowHeight="12.75"/>
  <cols>
    <col min="1" max="1" width="7.5703125" style="1" customWidth="1"/>
    <col min="2" max="2" width="16" style="1" bestFit="1" customWidth="1"/>
    <col min="3" max="3" width="14" style="1" customWidth="1"/>
    <col min="4" max="4" width="16.28515625" style="1" customWidth="1"/>
    <col min="5" max="5" width="33.85546875" style="1" customWidth="1"/>
    <col min="6" max="6" width="14.140625" style="1" customWidth="1"/>
    <col min="7" max="12" width="14" style="1" customWidth="1"/>
    <col min="13" max="16384" width="9.140625" style="1"/>
  </cols>
  <sheetData>
    <row r="1" spans="1:7" ht="18">
      <c r="B1" s="680" t="s">
        <v>576</v>
      </c>
      <c r="C1" s="680"/>
      <c r="D1" s="680"/>
      <c r="E1" s="680"/>
      <c r="F1" s="298"/>
      <c r="G1" s="298"/>
    </row>
    <row r="2" spans="1:7" ht="15.75">
      <c r="B2" s="678" t="s">
        <v>547</v>
      </c>
      <c r="C2" s="678"/>
      <c r="D2" s="678"/>
      <c r="E2" s="678"/>
    </row>
    <row r="3" spans="1:7" ht="15.75">
      <c r="B3" s="679" t="str">
        <f>+'Appendix A'!H3</f>
        <v>Projected ATRR or Actual ATRR for the 12 Months Ended 12/31/XXXX</v>
      </c>
      <c r="C3" s="679"/>
      <c r="D3" s="679"/>
      <c r="E3" s="679"/>
    </row>
    <row r="5" spans="1:7">
      <c r="B5" s="2"/>
      <c r="C5" s="2"/>
      <c r="D5" s="2"/>
      <c r="E5" s="2"/>
      <c r="F5" s="2"/>
      <c r="G5" s="2"/>
    </row>
    <row r="6" spans="1:7">
      <c r="A6" s="297" t="s">
        <v>122</v>
      </c>
      <c r="B6" s="13" t="s">
        <v>68</v>
      </c>
      <c r="C6" s="13" t="s">
        <v>69</v>
      </c>
      <c r="D6" s="13" t="s">
        <v>70</v>
      </c>
      <c r="E6" s="13" t="s">
        <v>71</v>
      </c>
      <c r="F6" s="13" t="s">
        <v>72</v>
      </c>
    </row>
    <row r="7" spans="1:7" s="11" customFormat="1" ht="51">
      <c r="A7" s="297" t="s">
        <v>122</v>
      </c>
      <c r="B7" s="552" t="s">
        <v>620</v>
      </c>
      <c r="C7" s="553" t="s">
        <v>399</v>
      </c>
      <c r="D7" s="553" t="s">
        <v>117</v>
      </c>
      <c r="E7" s="553" t="s">
        <v>118</v>
      </c>
      <c r="F7" s="552" t="s">
        <v>9</v>
      </c>
    </row>
    <row r="8" spans="1:7">
      <c r="B8" s="297" t="s">
        <v>67</v>
      </c>
      <c r="C8" s="14" t="s">
        <v>515</v>
      </c>
      <c r="D8" s="551"/>
      <c r="E8" s="551"/>
      <c r="F8" s="14"/>
      <c r="G8" s="12"/>
    </row>
    <row r="9" spans="1:7">
      <c r="A9" s="12">
        <v>1</v>
      </c>
      <c r="B9" s="17" t="s">
        <v>8</v>
      </c>
      <c r="C9" s="554">
        <v>0</v>
      </c>
      <c r="D9" s="285">
        <v>0</v>
      </c>
      <c r="E9" s="285">
        <v>0</v>
      </c>
      <c r="F9" s="284">
        <f>+SUM(C9:E9)</f>
        <v>0</v>
      </c>
      <c r="G9" s="41"/>
    </row>
    <row r="10" spans="1:7">
      <c r="A10" s="12"/>
      <c r="B10" s="20"/>
      <c r="C10" s="284"/>
      <c r="D10" s="286"/>
      <c r="E10" s="286"/>
      <c r="F10" s="41"/>
      <c r="G10" s="41"/>
    </row>
    <row r="11" spans="1:7">
      <c r="A11" s="12">
        <f>+A9+1</f>
        <v>2</v>
      </c>
      <c r="B11" s="20" t="s">
        <v>119</v>
      </c>
      <c r="C11" s="284">
        <f>+C9*'Appendix A'!D100</f>
        <v>0</v>
      </c>
      <c r="D11" s="286">
        <f>+D9*'Appendix A'!D100</f>
        <v>0</v>
      </c>
      <c r="E11" s="286">
        <f>+E9*'Appendix A'!D100</f>
        <v>0</v>
      </c>
      <c r="F11" s="284">
        <f>+SUM(C11:E11)</f>
        <v>0</v>
      </c>
      <c r="G11" s="41"/>
    </row>
    <row r="12" spans="1:7" ht="51">
      <c r="A12" s="297" t="s">
        <v>455</v>
      </c>
      <c r="B12" s="20"/>
      <c r="C12" s="312" t="str">
        <f>+"Line "&amp;A9&amp;" * Composite Income Tax Rate"</f>
        <v>Line 1 * Composite Income Tax Rate</v>
      </c>
      <c r="D12" s="312" t="str">
        <f>+"Line "&amp;A9&amp;" * Composite Income Tax Rate"</f>
        <v>Line 1 * Composite Income Tax Rate</v>
      </c>
      <c r="E12" s="312" t="str">
        <f>+"Line "&amp;A9&amp;" * Composite Income Tax Rate"</f>
        <v>Line 1 * Composite Income Tax Rate</v>
      </c>
      <c r="F12" s="312" t="str">
        <f>"Sum of Columns "&amp;C6&amp;", "&amp;D6&amp;" and "&amp;E6&amp;""</f>
        <v>Sum of Columns (b), (c) and (d)</v>
      </c>
      <c r="G12" s="41"/>
    </row>
    <row r="13" spans="1:7">
      <c r="B13" s="20"/>
      <c r="C13" s="41"/>
      <c r="D13" s="41"/>
      <c r="E13" s="41"/>
      <c r="F13" s="41"/>
      <c r="G13" s="41"/>
    </row>
    <row r="14" spans="1:7">
      <c r="B14" s="20"/>
      <c r="C14" s="41"/>
      <c r="D14" s="41"/>
      <c r="E14" s="41"/>
      <c r="F14" s="41"/>
      <c r="G14" s="41"/>
    </row>
    <row r="15" spans="1:7">
      <c r="B15" s="20"/>
      <c r="C15" s="41"/>
      <c r="D15" s="41"/>
      <c r="E15" s="41"/>
      <c r="F15" s="41"/>
      <c r="G15" s="41"/>
    </row>
    <row r="16" spans="1:7">
      <c r="B16" s="20"/>
      <c r="C16" s="41"/>
      <c r="D16" s="41"/>
      <c r="E16" s="41"/>
      <c r="F16" s="41"/>
      <c r="G16" s="41"/>
    </row>
    <row r="17" spans="2:7">
      <c r="B17" s="20"/>
      <c r="C17" s="41"/>
      <c r="D17" s="41"/>
      <c r="E17" s="41"/>
      <c r="F17" s="41"/>
      <c r="G17" s="41"/>
    </row>
    <row r="18" spans="2:7">
      <c r="B18" s="17"/>
      <c r="C18" s="41"/>
      <c r="D18" s="41"/>
      <c r="E18" s="41"/>
      <c r="F18" s="41"/>
      <c r="G18" s="41"/>
    </row>
    <row r="19" spans="2:7" ht="15">
      <c r="C19" s="42"/>
      <c r="D19" s="42"/>
      <c r="E19" s="42"/>
      <c r="F19" s="42"/>
      <c r="G19" s="42"/>
    </row>
  </sheetData>
  <mergeCells count="3">
    <mergeCell ref="B2:E2"/>
    <mergeCell ref="B3:E3"/>
    <mergeCell ref="B1:E1"/>
  </mergeCells>
  <pageMargins left="0.7" right="0.7" top="0.75" bottom="0.75" header="0.3" footer="0.3"/>
  <pageSetup scale="78" orientation="portrait" r:id="rId1"/>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ase Document" ma:contentTypeID="0x010100EE7D97E7475B474AA043B4C681C0A2E14000A9E394A617445B46901FEDB55CD8191A" ma:contentTypeVersion="59" ma:contentTypeDescription="" ma:contentTypeScope="" ma:versionID="51aab4e162d772ead3958234b05653bd">
  <xsd:schema xmlns:xsd="http://www.w3.org/2001/XMLSchema" xmlns:xs="http://www.w3.org/2001/XMLSchema" xmlns:p="http://schemas.microsoft.com/office/2006/metadata/properties" xmlns:ns2="e67a259b-b064-4dad-99ea-9056ae4e8be9" xmlns:ns3="f3cb6029-fc9e-4939-9808-645227f51fbd" targetNamespace="http://schemas.microsoft.com/office/2006/metadata/properties" ma:root="true" ma:fieldsID="8712038bae9c3e6d613db11b59e13457" ns2:_="" ns3:_="">
    <xsd:import namespace="e67a259b-b064-4dad-99ea-9056ae4e8be9"/>
    <xsd:import namespace="f3cb6029-fc9e-4939-9808-645227f51fbd"/>
    <xsd:element name="properties">
      <xsd:complexType>
        <xsd:sequence>
          <xsd:element name="documentManagement">
            <xsd:complexType>
              <xsd:all>
                <xsd:element ref="ns2:DocDescription" minOccurs="0"/>
                <xsd:element ref="ns2:HoldName" minOccurs="0"/>
                <xsd:element ref="ns2:LegacyObjID" minOccurs="0"/>
                <xsd:element ref="ns2:TaxCatchAll" minOccurs="0"/>
                <xsd:element ref="ns2:TaxCatchAllLabel" minOccurs="0"/>
                <xsd:element ref="ns2:b547e2d25ec54fdeabe25f8313d664c0" minOccurs="0"/>
                <xsd:element ref="ns2:h3dad4f417ab413a8ca4314e9f1bd0eb" minOccurs="0"/>
                <xsd:element ref="ns2:n3050d635d8a4c5ab09e418d8f381e2b" minOccurs="0"/>
                <xsd:element ref="ns2:k6ddcef4143d45158923c73e5fbf7fd3" minOccurs="0"/>
                <xsd:element ref="ns2:p1d6c7a98c54445284ac0a0253fc066c" minOccurs="0"/>
                <xsd:element ref="ns2:Case_x0020_Name" minOccurs="0"/>
                <xsd:element ref="ns2:Case_x0020_Number" minOccurs="0"/>
                <xsd:element ref="ns2:m8b02efe45004e889d4c9a25865a4d53"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DocDescription" ma:index="3" nillable="true" ma:displayName="Document Description" ma:description="The description of the document" ma:internalName="DocDescription">
      <xsd:simpleType>
        <xsd:restriction base="dms:Note">
          <xsd:maxLength value="255"/>
        </xsd:restriction>
      </xsd:simpleType>
    </xsd:element>
    <xsd:element name="HoldName" ma:index="7" nillable="true" ma:displayName="Hold Name" ma:description="The name of the legacy Legal Hold assigned to the Document" ma:internalName="HoldName">
      <xsd:simpleType>
        <xsd:restriction base="dms:Note">
          <xsd:maxLength value="255"/>
        </xsd:restriction>
      </xsd:simpleType>
    </xsd:element>
    <xsd:element name="LegacyObjID" ma:index="8" nillable="true" ma:displayName="Legacy Object ID" ma:description="The OpenText Object ID assigned to the migrated document" ma:internalName="LegacyObjID">
      <xsd:simpleType>
        <xsd:restriction base="dms:Text">
          <xsd:maxLength value="255"/>
        </xsd:restriction>
      </xsd:simpleType>
    </xsd:element>
    <xsd:element name="TaxCatchAll" ma:index="9" nillable="true" ma:displayName="Taxonomy Catch All Column" ma:hidden="true" ma:list="{0e94064c-146a-4ec0-8aad-134b5cc1950b}" ma:internalName="TaxCatchAll" ma:showField="CatchAllData" ma:web="f3cb6029-fc9e-4939-9808-645227f51fb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e94064c-146a-4ec0-8aad-134b5cc1950b}" ma:internalName="TaxCatchAllLabel" ma:readOnly="true" ma:showField="CatchAllDataLabel" ma:web="f3cb6029-fc9e-4939-9808-645227f51fbd">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2"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h3dad4f417ab413a8ca4314e9f1bd0eb" ma:index="14" nillable="true" ma:taxonomy="true" ma:internalName="h3dad4f417ab413a8ca4314e9f1bd0eb" ma:taxonomyFieldName="Information_x0020_Status" ma:displayName="Information Status" ma:readOnly="false"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element name="n3050d635d8a4c5ab09e418d8f381e2b" ma:index="16" ma:taxonomy="true" ma:internalName="n3050d635d8a4c5ab09e418d8f381e2b" ma:taxonomyFieldName="Information_x0020_Type" ma:displayName="Information Type" ma:readOnly="false" ma:default="5;#Legal Document|13fb2a77-cc07-4512-923e-519df240eb04" ma:fieldId="{73050d63-5d8a-4c5a-b09e-418d8f381e2b}" ma:sspId="7bf5fa43-f6bd-45aa-9061-cc6667b7271d" ma:termSetId="5460df09-e86b-4c45-898c-b2a91a9b5fe3" ma:anchorId="7c6f15c8-ee0e-4fe7-868e-c142cdba0508" ma:open="false" ma:isKeyword="false">
      <xsd:complexType>
        <xsd:sequence>
          <xsd:element ref="pc:Terms" minOccurs="0" maxOccurs="1"/>
        </xsd:sequence>
      </xsd:complexType>
    </xsd:element>
    <xsd:element name="k6ddcef4143d45158923c73e5fbf7fd3" ma:index="19"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p1d6c7a98c54445284ac0a0253fc066c" ma:index="21"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Case_x0020_Name" ma:index="23" nillable="true" ma:displayName="Case Name" ma:description="The name of the legal case" ma:internalName="Case_x0020_Name">
      <xsd:simpleType>
        <xsd:restriction base="dms:Text">
          <xsd:maxLength value="255"/>
        </xsd:restriction>
      </xsd:simpleType>
    </xsd:element>
    <xsd:element name="Case_x0020_Number" ma:index="24" nillable="true" ma:displayName="Case Number" ma:description="The case number assigned to the legal case" ma:internalName="Case_x0020_Number">
      <xsd:simpleType>
        <xsd:restriction base="dms:Text">
          <xsd:maxLength value="255"/>
        </xsd:restriction>
      </xsd:simpleType>
    </xsd:element>
    <xsd:element name="m8b02efe45004e889d4c9a25865a4d53" ma:index="25" nillable="true" ma:taxonomy="true" ma:internalName="m8b02efe45004e889d4c9a25865a4d53" ma:taxonomyFieldName="CaseDocumentType" ma:displayName="CaseDocumentType" ma:default="" ma:fieldId="{68b02efe-4500-4e88-9d4c-9a25865a4d53}" ma:sspId="7bf5fa43-f6bd-45aa-9061-cc6667b7271d" ma:termSetId="01808d52-f72d-4dcc-80a7-b8f6468b738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cb6029-fc9e-4939-9808-645227f51fbd"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bf5fa43-f6bd-45aa-9061-cc6667b7271d" ContentTypeId="0x010100EE7D97E7475B474AA043B4C681C0A2E140" PreviousValue="false"/>
</file>

<file path=customXml/item4.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5</Value>
      <Value>1</Value>
    </TaxCatchAll>
    <n3050d635d8a4c5ab09e418d8f381e2b xmlns="e67a259b-b064-4dad-99ea-9056ae4e8be9">
      <Terms xmlns="http://schemas.microsoft.com/office/infopath/2007/PartnerControls">
        <TermInfo xmlns="http://schemas.microsoft.com/office/infopath/2007/PartnerControls">
          <TermName xmlns="http://schemas.microsoft.com/office/infopath/2007/PartnerControls">Legal Document</TermName>
          <TermId xmlns="http://schemas.microsoft.com/office/infopath/2007/PartnerControls">13fb2a77-cc07-4512-923e-519df240eb04</TermId>
        </TermInfo>
      </Term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f3cb6029-fc9e-4939-9808-645227f51fbd">3JNFFEYHEUUA-1971671492-26582</_dlc_DocId>
    <_dlc_DocIdUrl xmlns="f3cb6029-fc9e-4939-9808-645227f51fbd">
      <Url>https://centralhudson.sharepoint.com/sites/RegulatoryLegal/_layouts/15/DocIdRedir.aspx?ID=3JNFFEYHEUUA-1971671492-26582</Url>
      <Description>3JNFFEYHEUUA-1971671492-26582</Description>
    </_dlc_DocIdUrl>
    <Case_x0020_Name xmlns="e67a259b-b064-4dad-99ea-9056ae4e8be9" xsi:nil="true"/>
    <Case_x0020_Number xmlns="e67a259b-b064-4dad-99ea-9056ae4e8be9" xsi:nil="true"/>
    <m8b02efe45004e889d4c9a25865a4d53 xmlns="e67a259b-b064-4dad-99ea-9056ae4e8be9">
      <Terms xmlns="http://schemas.microsoft.com/office/infopath/2007/PartnerControls"/>
    </m8b02efe45004e889d4c9a25865a4d53>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49789-3C3F-4AAA-B8FB-9E0BCB7932AA}">
  <ds:schemaRefs>
    <ds:schemaRef ds:uri="http://schemas.microsoft.com/sharepoint/events"/>
  </ds:schemaRefs>
</ds:datastoreItem>
</file>

<file path=customXml/itemProps2.xml><?xml version="1.0" encoding="utf-8"?>
<ds:datastoreItem xmlns:ds="http://schemas.openxmlformats.org/officeDocument/2006/customXml" ds:itemID="{474B4638-CB75-4E80-93CC-674EDFECF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a259b-b064-4dad-99ea-9056ae4e8be9"/>
    <ds:schemaRef ds:uri="f3cb6029-fc9e-4939-9808-645227f51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F0D859-2B9D-46DB-9507-8D8C05CF6177}">
  <ds:schemaRefs>
    <ds:schemaRef ds:uri="Microsoft.SharePoint.Taxonomy.ContentTypeSync"/>
  </ds:schemaRefs>
</ds:datastoreItem>
</file>

<file path=customXml/itemProps4.xml><?xml version="1.0" encoding="utf-8"?>
<ds:datastoreItem xmlns:ds="http://schemas.openxmlformats.org/officeDocument/2006/customXml" ds:itemID="{2AD09BE3-D773-426C-96F1-B6B85A30058B}">
  <ds:schemaRefs>
    <ds:schemaRef ds:uri="http://schemas.microsoft.com/office/2006/metadata/properties"/>
    <ds:schemaRef ds:uri="http://schemas.microsoft.com/office/infopath/2007/PartnerControls"/>
    <ds:schemaRef ds:uri="e67a259b-b064-4dad-99ea-9056ae4e8be9"/>
    <ds:schemaRef ds:uri="e25088f3-9b63-4b0f-82a9-173e45969f25"/>
    <ds:schemaRef ds:uri="f3cb6029-fc9e-4939-9808-645227f51fbd"/>
  </ds:schemaRefs>
</ds:datastoreItem>
</file>

<file path=customXml/itemProps5.xml><?xml version="1.0" encoding="utf-8"?>
<ds:datastoreItem xmlns:ds="http://schemas.openxmlformats.org/officeDocument/2006/customXml" ds:itemID="{0BA160D1-2F28-4BC5-B017-476DAF4D42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2024-12-07T00:35:35Z</cp:lastPrinted>
  <dcterms:created xsi:type="dcterms:W3CDTF">2017-06-08T16:04:55Z</dcterms:created>
  <dcterms:modified xsi:type="dcterms:W3CDTF">2024-12-07T00:44:48Z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0x010100EE7D97E7475B474AA043B4C681C0A2E14000A9E394A617445B46901FEDB55CD8191A</vt:lpwstr>
  </property>
  <property fmtid="{D5CDD505-2E9C-101B-9397-08002B2CF9AE}" pid="3" name="_dlc_DocIdItemGuid">
    <vt:lpwstr>a61b4b0f-5590-4659-aee3-64cf3c3d5e55</vt:lpwstr>
  </property>
  <property fmtid="{D5CDD505-2E9C-101B-9397-08002B2CF9AE}" pid="4" name="Information Status">
    <vt:lpwstr>1</vt:lpwstr>
  </property>
  <property fmtid="{D5CDD505-2E9C-101B-9397-08002B2CF9AE}" pid="5" name="MSIP_Label_a5049dce-8671-4c79-90d7-f6ec79470f4e_Enabled">
    <vt:lpwstr>true</vt:lpwstr>
  </property>
  <property fmtid="{D5CDD505-2E9C-101B-9397-08002B2CF9AE}" pid="6" name="MSIP_Label_a5049dce-8671-4c79-90d7-f6ec79470f4e_SetDate">
    <vt:lpwstr>2023-07-25T20:09:55Z</vt:lpwstr>
  </property>
  <property fmtid="{D5CDD505-2E9C-101B-9397-08002B2CF9AE}" pid="7" name="MSIP_Label_a5049dce-8671-4c79-90d7-f6ec79470f4e_Method">
    <vt:lpwstr>Privileged</vt:lpwstr>
  </property>
  <property fmtid="{D5CDD505-2E9C-101B-9397-08002B2CF9AE}" pid="8" name="MSIP_Label_a5049dce-8671-4c79-90d7-f6ec79470f4e_Name">
    <vt:lpwstr>Public</vt:lpwstr>
  </property>
  <property fmtid="{D5CDD505-2E9C-101B-9397-08002B2CF9AE}" pid="9" name="MSIP_Label_a5049dce-8671-4c79-90d7-f6ec79470f4e_SiteId">
    <vt:lpwstr>7658602a-f7b9-4209-bc62-d2bfc30dea0d</vt:lpwstr>
  </property>
  <property fmtid="{D5CDD505-2E9C-101B-9397-08002B2CF9AE}" pid="10" name="MSIP_Label_a5049dce-8671-4c79-90d7-f6ec79470f4e_ActionId">
    <vt:lpwstr>4360dc00-a10f-4270-8ba9-6f8b5546a568</vt:lpwstr>
  </property>
  <property fmtid="{D5CDD505-2E9C-101B-9397-08002B2CF9AE}" pid="11" name="MSIP_Label_a5049dce-8671-4c79-90d7-f6ec79470f4e_ContentBits">
    <vt:lpwstr>0</vt:lpwstr>
  </property>
  <property fmtid="{D5CDD505-2E9C-101B-9397-08002B2CF9AE}" pid="12" name="_NewReviewCycle">
    <vt:lpwstr/>
  </property>
  <property fmtid="{D5CDD505-2E9C-101B-9397-08002B2CF9AE}" pid="13" name="LegacySecurityTag">
    <vt:lpwstr/>
  </property>
  <property fmtid="{D5CDD505-2E9C-101B-9397-08002B2CF9AE}" pid="14" name="Information Type">
    <vt:lpwstr>5</vt:lpwstr>
  </property>
  <property fmtid="{D5CDD505-2E9C-101B-9397-08002B2CF9AE}" pid="15" name="District">
    <vt:lpwstr/>
  </property>
  <property fmtid="{D5CDD505-2E9C-101B-9397-08002B2CF9AE}" pid="16" name="Information_x0020_Status">
    <vt:lpwstr>1</vt:lpwstr>
  </property>
  <property fmtid="{D5CDD505-2E9C-101B-9397-08002B2CF9AE}" pid="17" name="Area">
    <vt:lpwstr/>
  </property>
  <property fmtid="{D5CDD505-2E9C-101B-9397-08002B2CF9AE}" pid="18" name="MediaServiceImageTags">
    <vt:lpwstr/>
  </property>
  <property fmtid="{D5CDD505-2E9C-101B-9397-08002B2CF9AE}" pid="19" name="Information_x0020_Type">
    <vt:lpwstr>5</vt:lpwstr>
  </property>
  <property fmtid="{D5CDD505-2E9C-101B-9397-08002B2CF9AE}" pid="20" name="CaseDocumentType">
    <vt:lpwstr/>
  </property>
  <property fmtid="{D5CDD505-2E9C-101B-9397-08002B2CF9AE}" pid="21" name="lcf76f155ced4ddcb4097134ff3c332f">
    <vt:lpwstr/>
  </property>
  <property fmtid="{D5CDD505-2E9C-101B-9397-08002B2CF9AE}" pid="22" name="_AdHocReviewCycleID">
    <vt:i4>1545569658</vt:i4>
  </property>
  <property fmtid="{D5CDD505-2E9C-101B-9397-08002B2CF9AE}" pid="23" name="_EmailSubject">
    <vt:lpwstr>Central Hudson RS19 Settlement Compliance Filing (Docket ER23-2507)</vt:lpwstr>
  </property>
  <property fmtid="{D5CDD505-2E9C-101B-9397-08002B2CF9AE}" pid="24" name="_AuthorEmail">
    <vt:lpwstr>GBissell@nyiso.com</vt:lpwstr>
  </property>
  <property fmtid="{D5CDD505-2E9C-101B-9397-08002B2CF9AE}" pid="25" name="_AuthorEmailDisplayName">
    <vt:lpwstr>Bissell, Garrett E</vt:lpwstr>
  </property>
</Properties>
</file>